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4"/>
  <workbookPr/>
  <mc:AlternateContent xmlns:mc="http://schemas.openxmlformats.org/markup-compatibility/2006">
    <mc:Choice Requires="x15">
      <x15ac:absPath xmlns:x15ac="http://schemas.microsoft.com/office/spreadsheetml/2010/11/ac" url="C:\Users\0034\Desktop\保険税\芹川\R７ＨＰ掲載用\"/>
    </mc:Choice>
  </mc:AlternateContent>
  <xr:revisionPtr revIDLastSave="0" documentId="13_ncr:1_{14295F50-EA84-444F-A805-94B026ACCAA1}" xr6:coauthVersionLast="36" xr6:coauthVersionMax="36" xr10:uidLastSave="{00000000-0000-0000-0000-000000000000}"/>
  <workbookProtection lockStructure="1"/>
  <bookViews>
    <workbookView xWindow="0" yWindow="0" windowWidth="11715" windowHeight="8370" xr2:uid="{00000000-000D-0000-FFFF-FFFF00000000}"/>
  </bookViews>
  <sheets>
    <sheet name="国保試算用入力シート" sheetId="6" r:id="rId1"/>
    <sheet name="国民健康保険試算表 2" sheetId="5" state="hidden" r:id="rId2"/>
    <sheet name="国民健康保険試算表" sheetId="1" state="hidden" r:id="rId3"/>
    <sheet name="軽減判定計算シート" sheetId="2" state="hidden" r:id="rId4"/>
    <sheet name="保険料額（軽減）一覧" sheetId="4" state="hidden" r:id="rId5"/>
  </sheets>
  <definedNames>
    <definedName name="_xlnm.Print_Area" localSheetId="2">国民健康保険試算表!$4:$49</definedName>
    <definedName name="_xlnm.Print_Area" localSheetId="1">'国民健康保険試算表 2'!$A$4:$U$49</definedName>
  </definedNames>
  <calcPr calcId="191029"/>
</workbook>
</file>

<file path=xl/calcChain.xml><?xml version="1.0" encoding="utf-8"?>
<calcChain xmlns="http://schemas.openxmlformats.org/spreadsheetml/2006/main">
  <c r="B20" i="5" l="1"/>
  <c r="B19" i="5"/>
  <c r="B18" i="5"/>
  <c r="B17" i="5"/>
  <c r="B16" i="5"/>
  <c r="B15" i="5"/>
  <c r="B14" i="5"/>
  <c r="B13" i="5"/>
  <c r="B23" i="5" l="1"/>
  <c r="I20" i="5"/>
  <c r="I19" i="5"/>
  <c r="I18" i="5"/>
  <c r="I17" i="5"/>
  <c r="I16" i="5"/>
  <c r="I15" i="5"/>
  <c r="I14" i="5"/>
  <c r="I13" i="5"/>
  <c r="F20" i="5"/>
  <c r="H20" i="5" s="1"/>
  <c r="F19" i="5"/>
  <c r="H19" i="5" s="1"/>
  <c r="G19" i="5" s="1"/>
  <c r="F18" i="5"/>
  <c r="H18" i="5" s="1"/>
  <c r="G18" i="5" s="1"/>
  <c r="F17" i="5"/>
  <c r="H17" i="5" s="1"/>
  <c r="G17" i="5" s="1"/>
  <c r="F16" i="5"/>
  <c r="F15" i="5"/>
  <c r="F14" i="5"/>
  <c r="F13" i="5"/>
  <c r="E20" i="5"/>
  <c r="K20" i="5" s="1"/>
  <c r="M20" i="5" s="1"/>
  <c r="E19" i="5"/>
  <c r="E18" i="5"/>
  <c r="E17" i="5"/>
  <c r="E16" i="5"/>
  <c r="E15" i="5"/>
  <c r="E14" i="5"/>
  <c r="E13" i="5"/>
  <c r="E21" i="5"/>
  <c r="D20" i="5"/>
  <c r="C20" i="5"/>
  <c r="D19" i="5"/>
  <c r="D18" i="5"/>
  <c r="D17" i="5"/>
  <c r="D16" i="5"/>
  <c r="D15" i="5"/>
  <c r="D14" i="5"/>
  <c r="D13" i="5"/>
  <c r="C19" i="5"/>
  <c r="C18" i="5"/>
  <c r="C17" i="5"/>
  <c r="C16" i="5"/>
  <c r="C15" i="5"/>
  <c r="C14" i="5"/>
  <c r="C13" i="5"/>
  <c r="N13" i="5" s="1"/>
  <c r="B22" i="5" l="1"/>
  <c r="D5" i="2" s="1"/>
  <c r="K19" i="5"/>
  <c r="M19" i="5" s="1"/>
  <c r="J19" i="5"/>
  <c r="D6" i="2"/>
  <c r="K18" i="5"/>
  <c r="M18" i="5" s="1"/>
  <c r="J18" i="5"/>
  <c r="G20" i="5"/>
  <c r="J20" i="5"/>
  <c r="H15" i="5"/>
  <c r="E4" i="2" l="1"/>
  <c r="J40" i="5" l="1"/>
  <c r="I40" i="5"/>
  <c r="H40" i="5"/>
  <c r="G40" i="5"/>
  <c r="F40" i="5"/>
  <c r="E40" i="5"/>
  <c r="J39" i="5"/>
  <c r="G39" i="5"/>
  <c r="F39" i="5"/>
  <c r="E39" i="5"/>
  <c r="E33" i="5"/>
  <c r="D33" i="5"/>
  <c r="B33" i="5"/>
  <c r="C33" i="5" s="1"/>
  <c r="E32" i="5"/>
  <c r="B32" i="5"/>
  <c r="D32" i="5" s="1"/>
  <c r="E31" i="5"/>
  <c r="B31" i="5"/>
  <c r="D31" i="5" s="1"/>
  <c r="B24" i="5"/>
  <c r="E6" i="2"/>
  <c r="E5" i="2"/>
  <c r="N20" i="5"/>
  <c r="N19" i="5"/>
  <c r="N18" i="5"/>
  <c r="N17" i="5"/>
  <c r="K17" i="5"/>
  <c r="M17" i="5" s="1"/>
  <c r="B30" i="5" s="1"/>
  <c r="E30" i="5" s="1"/>
  <c r="J17" i="5"/>
  <c r="N16" i="5"/>
  <c r="K16" i="5"/>
  <c r="M16" i="5" s="1"/>
  <c r="B29" i="5" s="1"/>
  <c r="E29" i="5" s="1"/>
  <c r="H16" i="5"/>
  <c r="J16" i="5" s="1"/>
  <c r="N15" i="5"/>
  <c r="K15" i="5"/>
  <c r="M15" i="5" s="1"/>
  <c r="B28" i="5" s="1"/>
  <c r="G15" i="5"/>
  <c r="N14" i="5"/>
  <c r="K14" i="5"/>
  <c r="M14" i="5" s="1"/>
  <c r="B27" i="5" s="1"/>
  <c r="H14" i="5"/>
  <c r="G14" i="5" s="1"/>
  <c r="K13" i="5"/>
  <c r="M13" i="5" s="1"/>
  <c r="B26" i="5" s="1"/>
  <c r="H13" i="5"/>
  <c r="G13" i="5" s="1"/>
  <c r="G10" i="5"/>
  <c r="H9" i="5"/>
  <c r="H8" i="5"/>
  <c r="C32" i="5" l="1"/>
  <c r="H10" i="5"/>
  <c r="J15" i="5"/>
  <c r="J14" i="5"/>
  <c r="M39" i="5"/>
  <c r="K40" i="5"/>
  <c r="L40" i="5"/>
  <c r="C31" i="5"/>
  <c r="M40" i="5"/>
  <c r="C28" i="5"/>
  <c r="E28" i="5"/>
  <c r="D28" i="5"/>
  <c r="C26" i="5"/>
  <c r="E26" i="5"/>
  <c r="D26" i="5"/>
  <c r="C30" i="5"/>
  <c r="D30" i="5"/>
  <c r="D27" i="5"/>
  <c r="C27" i="5"/>
  <c r="E27" i="5"/>
  <c r="D29" i="5"/>
  <c r="C29" i="5"/>
  <c r="J13" i="5"/>
  <c r="G16" i="5"/>
  <c r="B24" i="1"/>
  <c r="M41" i="5" l="1"/>
  <c r="F46" i="5" s="1"/>
  <c r="N40" i="5"/>
  <c r="I21" i="5"/>
  <c r="F2" i="2" s="1"/>
  <c r="C34" i="5"/>
  <c r="B44" i="5" s="1"/>
  <c r="D34" i="5"/>
  <c r="B45" i="5" s="1"/>
  <c r="E34" i="5"/>
  <c r="I39" i="1"/>
  <c r="B46" i="5" l="1"/>
  <c r="J17" i="1"/>
  <c r="K17" i="1"/>
  <c r="M17" i="1" s="1"/>
  <c r="H15" i="1" l="1"/>
  <c r="G15" i="1" s="1"/>
  <c r="G16" i="1"/>
  <c r="H16" i="1"/>
  <c r="J16" i="1" s="1"/>
  <c r="K15" i="1"/>
  <c r="M15" i="1" s="1"/>
  <c r="B28" i="1" s="1"/>
  <c r="K16" i="1"/>
  <c r="M16" i="1" s="1"/>
  <c r="J15" i="1" l="1"/>
  <c r="D6" i="4"/>
  <c r="D10" i="4" s="1"/>
  <c r="C6" i="4"/>
  <c r="C14" i="4" s="1"/>
  <c r="B6" i="4"/>
  <c r="B7" i="4" s="1"/>
  <c r="D5" i="4"/>
  <c r="D9" i="4" s="1"/>
  <c r="C5" i="4"/>
  <c r="C13" i="4" s="1"/>
  <c r="B5" i="4"/>
  <c r="B13" i="4" s="1"/>
  <c r="D4" i="4"/>
  <c r="C4" i="4"/>
  <c r="B4" i="4"/>
  <c r="J40" i="1"/>
  <c r="I40" i="1"/>
  <c r="H40" i="1"/>
  <c r="G40" i="1"/>
  <c r="F40" i="1"/>
  <c r="E40" i="1"/>
  <c r="J39" i="1"/>
  <c r="H39" i="1"/>
  <c r="G39" i="1"/>
  <c r="F39" i="1"/>
  <c r="E39" i="1"/>
  <c r="J33" i="1"/>
  <c r="H33" i="1"/>
  <c r="F33" i="1"/>
  <c r="E33" i="1"/>
  <c r="J32" i="1"/>
  <c r="H32" i="1"/>
  <c r="F32" i="1"/>
  <c r="E32" i="1"/>
  <c r="J31" i="1"/>
  <c r="H31" i="1"/>
  <c r="F31" i="1"/>
  <c r="E31" i="1"/>
  <c r="J30" i="1"/>
  <c r="E30" i="1"/>
  <c r="J29" i="1"/>
  <c r="E29" i="1"/>
  <c r="B23" i="1"/>
  <c r="B22" i="1"/>
  <c r="N20" i="1"/>
  <c r="B33" i="1"/>
  <c r="C33" i="1" s="1"/>
  <c r="N19" i="1"/>
  <c r="B32" i="1"/>
  <c r="C32" i="1" s="1"/>
  <c r="N18" i="1"/>
  <c r="B31" i="1"/>
  <c r="C31" i="1" s="1"/>
  <c r="N17" i="1"/>
  <c r="B30" i="1"/>
  <c r="N16" i="1"/>
  <c r="B29" i="1"/>
  <c r="N15" i="1"/>
  <c r="E28" i="1"/>
  <c r="N14" i="1"/>
  <c r="K14" i="1"/>
  <c r="M14" i="1" s="1"/>
  <c r="B27" i="1" s="1"/>
  <c r="H14" i="1"/>
  <c r="G14" i="1" s="1"/>
  <c r="N13" i="1"/>
  <c r="K13" i="1"/>
  <c r="M13" i="1" s="1"/>
  <c r="B26" i="1" s="1"/>
  <c r="C26" i="1" s="1"/>
  <c r="H13" i="1"/>
  <c r="J13" i="1" s="1"/>
  <c r="G10" i="1"/>
  <c r="H9" i="1"/>
  <c r="H8" i="1"/>
  <c r="I31" i="1" l="1"/>
  <c r="I32" i="1"/>
  <c r="I33" i="1"/>
  <c r="H10" i="1"/>
  <c r="G31" i="1"/>
  <c r="G32" i="1"/>
  <c r="K32" i="1" s="1"/>
  <c r="G33" i="1"/>
  <c r="F4" i="4"/>
  <c r="P32" i="1"/>
  <c r="R11" i="1" s="1"/>
  <c r="P33" i="1"/>
  <c r="R12" i="1" s="1"/>
  <c r="K39" i="1"/>
  <c r="M40" i="1"/>
  <c r="E4" i="4"/>
  <c r="G13" i="1"/>
  <c r="B9" i="4"/>
  <c r="D32" i="1"/>
  <c r="O32" i="1" s="1"/>
  <c r="Q11" i="1" s="1"/>
  <c r="L39" i="1"/>
  <c r="D17" i="4"/>
  <c r="C18" i="4"/>
  <c r="P30" i="1"/>
  <c r="R9" i="1" s="1"/>
  <c r="P31" i="1"/>
  <c r="R10" i="1" s="1"/>
  <c r="D18" i="4"/>
  <c r="P29" i="1"/>
  <c r="R8" i="1" s="1"/>
  <c r="K40" i="1"/>
  <c r="M39" i="1"/>
  <c r="E26" i="1"/>
  <c r="D26" i="1"/>
  <c r="C28" i="1"/>
  <c r="D28" i="1"/>
  <c r="C30" i="1"/>
  <c r="D30" i="1"/>
  <c r="L40" i="1"/>
  <c r="B18" i="4"/>
  <c r="E6" i="4"/>
  <c r="B10" i="4"/>
  <c r="B14" i="4"/>
  <c r="C17" i="4"/>
  <c r="E5" i="4"/>
  <c r="C9" i="4"/>
  <c r="J14" i="1"/>
  <c r="I21" i="1" s="1"/>
  <c r="C27" i="1"/>
  <c r="C34" i="1" s="1"/>
  <c r="B44" i="1" s="1"/>
  <c r="E27" i="1"/>
  <c r="N33" i="1"/>
  <c r="P12" i="1" s="1"/>
  <c r="C29" i="1"/>
  <c r="D29" i="1"/>
  <c r="N31" i="1"/>
  <c r="P10" i="1" s="1"/>
  <c r="N32" i="1"/>
  <c r="P11" i="1" s="1"/>
  <c r="D27" i="1"/>
  <c r="D31" i="1"/>
  <c r="O31" i="1" s="1"/>
  <c r="Q10" i="1" s="1"/>
  <c r="D33" i="1"/>
  <c r="O33" i="1" s="1"/>
  <c r="Q12" i="1" s="1"/>
  <c r="F13" i="4"/>
  <c r="D13" i="4"/>
  <c r="E13" i="4" s="1"/>
  <c r="D7" i="4"/>
  <c r="C10" i="4"/>
  <c r="D14" i="4"/>
  <c r="B17" i="4"/>
  <c r="C7" i="4"/>
  <c r="E7" i="4" s="1"/>
  <c r="F5" i="4"/>
  <c r="S11" i="1" l="1"/>
  <c r="T11" i="1" s="1"/>
  <c r="S10" i="1"/>
  <c r="T10" i="1" s="1"/>
  <c r="S12" i="1"/>
  <c r="T12" i="1" s="1"/>
  <c r="K31" i="1"/>
  <c r="K33" i="1"/>
  <c r="E9" i="4"/>
  <c r="K41" i="1"/>
  <c r="F44" i="1" s="1"/>
  <c r="M41" i="1"/>
  <c r="F46" i="1" s="1"/>
  <c r="F9" i="4"/>
  <c r="Q32" i="1"/>
  <c r="L41" i="1"/>
  <c r="F45" i="1" s="1"/>
  <c r="N39" i="1"/>
  <c r="N40" i="1"/>
  <c r="Q33" i="1"/>
  <c r="E34" i="1"/>
  <c r="B46" i="1" s="1"/>
  <c r="Q31" i="1"/>
  <c r="B11" i="4"/>
  <c r="E11" i="4" s="1"/>
  <c r="E10" i="4"/>
  <c r="D34" i="1"/>
  <c r="B45" i="1" s="1"/>
  <c r="E17" i="4"/>
  <c r="F17" i="4"/>
  <c r="E14" i="4"/>
  <c r="B15" i="4"/>
  <c r="E15" i="4" s="1"/>
  <c r="B19" i="4"/>
  <c r="E19" i="4" s="1"/>
  <c r="E18" i="4"/>
  <c r="F4" i="2" l="1"/>
  <c r="F5" i="2"/>
  <c r="F6" i="2"/>
  <c r="F7" i="2" l="1"/>
  <c r="G7" i="2" s="1"/>
  <c r="A24" i="5" s="1"/>
  <c r="H32" i="5" s="1"/>
  <c r="I32" i="5" s="1"/>
  <c r="O32" i="5" s="1"/>
  <c r="Q19" i="5" s="1"/>
  <c r="J29" i="5"/>
  <c r="P29" i="5" s="1"/>
  <c r="R16" i="5" s="1"/>
  <c r="J33" i="5"/>
  <c r="P33" i="5" s="1"/>
  <c r="R20" i="5" s="1"/>
  <c r="J30" i="5"/>
  <c r="P30" i="5" s="1"/>
  <c r="R17" i="5" s="1"/>
  <c r="J32" i="5"/>
  <c r="P32" i="5" s="1"/>
  <c r="R19" i="5" s="1"/>
  <c r="J31" i="5"/>
  <c r="P31" i="5" s="1"/>
  <c r="R18" i="5" s="1"/>
  <c r="H39" i="5"/>
  <c r="K39" i="5" s="1"/>
  <c r="I39" i="5"/>
  <c r="L39" i="5" s="1"/>
  <c r="L41" i="5" s="1"/>
  <c r="F45" i="5" s="1"/>
  <c r="F30" i="1"/>
  <c r="H30" i="1"/>
  <c r="F29" i="1"/>
  <c r="H29" i="1"/>
  <c r="H29" i="5" l="1"/>
  <c r="I29" i="5" s="1"/>
  <c r="O29" i="5" s="1"/>
  <c r="Q16" i="5" s="1"/>
  <c r="F31" i="5"/>
  <c r="G31" i="5" s="1"/>
  <c r="N31" i="5" s="1"/>
  <c r="F29" i="5"/>
  <c r="G29" i="5" s="1"/>
  <c r="N29" i="5" s="1"/>
  <c r="H31" i="5"/>
  <c r="I31" i="5" s="1"/>
  <c r="O31" i="5" s="1"/>
  <c r="Q18" i="5" s="1"/>
  <c r="H30" i="5"/>
  <c r="I30" i="5" s="1"/>
  <c r="O30" i="5" s="1"/>
  <c r="Q17" i="5" s="1"/>
  <c r="H33" i="5"/>
  <c r="I33" i="5" s="1"/>
  <c r="O33" i="5" s="1"/>
  <c r="Q20" i="5" s="1"/>
  <c r="F32" i="5"/>
  <c r="G32" i="5" s="1"/>
  <c r="N32" i="5" s="1"/>
  <c r="F30" i="5"/>
  <c r="G30" i="5" s="1"/>
  <c r="N30" i="5" s="1"/>
  <c r="P17" i="5" s="1"/>
  <c r="F33" i="5"/>
  <c r="G33" i="5" s="1"/>
  <c r="N33" i="5" s="1"/>
  <c r="A24" i="1"/>
  <c r="F26" i="1" s="1"/>
  <c r="G26" i="1" s="1"/>
  <c r="N39" i="5"/>
  <c r="K41" i="5"/>
  <c r="F44" i="5" s="1"/>
  <c r="J28" i="5"/>
  <c r="P28" i="5" s="1"/>
  <c r="R15" i="5" s="1"/>
  <c r="J27" i="5"/>
  <c r="P27" i="5" s="1"/>
  <c r="R14" i="5" s="1"/>
  <c r="M35" i="5"/>
  <c r="J26" i="5"/>
  <c r="H27" i="5"/>
  <c r="D45" i="5"/>
  <c r="F27" i="5"/>
  <c r="F26" i="5"/>
  <c r="H28" i="5"/>
  <c r="F28" i="5"/>
  <c r="H26" i="5"/>
  <c r="G29" i="1"/>
  <c r="O29" i="1"/>
  <c r="Q8" i="1" s="1"/>
  <c r="N29" i="1"/>
  <c r="I30" i="1"/>
  <c r="O30" i="1"/>
  <c r="Q9" i="1" s="1"/>
  <c r="G30" i="1"/>
  <c r="N30" i="1"/>
  <c r="P9" i="1" s="1"/>
  <c r="I29" i="1"/>
  <c r="N26" i="1" l="1"/>
  <c r="P5" i="1" s="1"/>
  <c r="J28" i="1"/>
  <c r="P28" i="1" s="1"/>
  <c r="D45" i="1"/>
  <c r="J27" i="1"/>
  <c r="P27" i="1" s="1"/>
  <c r="F28" i="1"/>
  <c r="G28" i="1" s="1"/>
  <c r="M35" i="1"/>
  <c r="F27" i="1"/>
  <c r="G27" i="1" s="1"/>
  <c r="H26" i="1"/>
  <c r="O26" i="1" s="1"/>
  <c r="Q5" i="1" s="1"/>
  <c r="H28" i="1"/>
  <c r="I28" i="1" s="1"/>
  <c r="H27" i="1"/>
  <c r="I27" i="1" s="1"/>
  <c r="J26" i="1"/>
  <c r="P26" i="1" s="1"/>
  <c r="K31" i="5"/>
  <c r="K32" i="5"/>
  <c r="P19" i="5"/>
  <c r="S19" i="5" s="1"/>
  <c r="T19" i="5" s="1"/>
  <c r="P26" i="6" s="1"/>
  <c r="Q32" i="5"/>
  <c r="P18" i="5"/>
  <c r="S18" i="5" s="1"/>
  <c r="T18" i="5" s="1"/>
  <c r="P24" i="6" s="1"/>
  <c r="Q31" i="5"/>
  <c r="K33" i="5"/>
  <c r="P20" i="5"/>
  <c r="S20" i="5" s="1"/>
  <c r="T20" i="5" s="1"/>
  <c r="P28" i="6" s="1"/>
  <c r="Q33" i="5"/>
  <c r="K30" i="5"/>
  <c r="P16" i="5"/>
  <c r="S16" i="5" s="1"/>
  <c r="T16" i="5" s="1"/>
  <c r="P20" i="6" s="1"/>
  <c r="N26" i="5"/>
  <c r="P13" i="5" s="1"/>
  <c r="F34" i="5"/>
  <c r="S17" i="5"/>
  <c r="T17" i="5" s="1"/>
  <c r="P22" i="6" s="1"/>
  <c r="Q30" i="5"/>
  <c r="Q29" i="5"/>
  <c r="K29" i="5"/>
  <c r="Q29" i="1"/>
  <c r="P26" i="5"/>
  <c r="P34" i="5" s="1"/>
  <c r="N36" i="5" s="1"/>
  <c r="E46" i="5" s="1"/>
  <c r="J34" i="5"/>
  <c r="K29" i="1"/>
  <c r="I26" i="5"/>
  <c r="H34" i="5"/>
  <c r="O26" i="5"/>
  <c r="G27" i="5"/>
  <c r="N27" i="5" s="1"/>
  <c r="P14" i="5" s="1"/>
  <c r="G28" i="5"/>
  <c r="N28" i="5" s="1"/>
  <c r="P15" i="5" s="1"/>
  <c r="G26" i="5"/>
  <c r="I28" i="5"/>
  <c r="O28" i="5" s="1"/>
  <c r="Q15" i="5" s="1"/>
  <c r="I27" i="5"/>
  <c r="O27" i="5" s="1"/>
  <c r="Q14" i="5" s="1"/>
  <c r="S9" i="1"/>
  <c r="T9" i="1" s="1"/>
  <c r="R7" i="1"/>
  <c r="P8" i="1"/>
  <c r="S8" i="1" s="1"/>
  <c r="T8" i="1" s="1"/>
  <c r="K30" i="1"/>
  <c r="Q30" i="1"/>
  <c r="R6" i="1" l="1"/>
  <c r="I26" i="1"/>
  <c r="I34" i="1" s="1"/>
  <c r="G34" i="1"/>
  <c r="N28" i="1"/>
  <c r="P7" i="1" s="1"/>
  <c r="P34" i="1"/>
  <c r="N36" i="1" s="1"/>
  <c r="E46" i="1" s="1"/>
  <c r="N27" i="1"/>
  <c r="P6" i="1" s="1"/>
  <c r="F34" i="1"/>
  <c r="C44" i="1" s="1"/>
  <c r="D44" i="1" s="1"/>
  <c r="S14" i="1" s="1"/>
  <c r="H34" i="1"/>
  <c r="R5" i="1"/>
  <c r="R13" i="1" s="1"/>
  <c r="J34" i="1"/>
  <c r="C46" i="1" s="1"/>
  <c r="K27" i="1"/>
  <c r="O27" i="1"/>
  <c r="Q6" i="1" s="1"/>
  <c r="O28" i="1"/>
  <c r="Q7" i="1" s="1"/>
  <c r="K28" i="1"/>
  <c r="Q26" i="1"/>
  <c r="Q26" i="5"/>
  <c r="N34" i="5"/>
  <c r="C46" i="5"/>
  <c r="G46" i="5" s="1"/>
  <c r="H46" i="5" s="1"/>
  <c r="I46" i="5" s="1"/>
  <c r="K28" i="5"/>
  <c r="Q28" i="5"/>
  <c r="K27" i="5"/>
  <c r="R13" i="5"/>
  <c r="R21" i="5" s="1"/>
  <c r="G34" i="5"/>
  <c r="Q13" i="5"/>
  <c r="Q21" i="5" s="1"/>
  <c r="O34" i="5"/>
  <c r="S15" i="5"/>
  <c r="T15" i="5" s="1"/>
  <c r="P18" i="6" s="1"/>
  <c r="S14" i="5"/>
  <c r="T14" i="5" s="1"/>
  <c r="P16" i="6" s="1"/>
  <c r="Q27" i="5"/>
  <c r="K26" i="5"/>
  <c r="I34" i="5"/>
  <c r="C45" i="5" s="1"/>
  <c r="C45" i="1" l="1"/>
  <c r="K26" i="1"/>
  <c r="S7" i="1"/>
  <c r="T7" i="1" s="1"/>
  <c r="P13" i="1"/>
  <c r="G46" i="1"/>
  <c r="H46" i="1" s="1"/>
  <c r="I46" i="1" s="1"/>
  <c r="N34" i="1"/>
  <c r="L35" i="1" s="1"/>
  <c r="L36" i="1" s="1"/>
  <c r="E44" i="1" s="1"/>
  <c r="G44" i="1" s="1"/>
  <c r="H44" i="1" s="1"/>
  <c r="I44" i="1" s="1"/>
  <c r="S6" i="1"/>
  <c r="T6" i="1" s="1"/>
  <c r="S5" i="1"/>
  <c r="T5" i="1" s="1"/>
  <c r="Q13" i="1"/>
  <c r="Q27" i="1"/>
  <c r="Q28" i="1"/>
  <c r="O34" i="1"/>
  <c r="M36" i="1" s="1"/>
  <c r="E45" i="1" s="1"/>
  <c r="K34" i="5"/>
  <c r="M36" i="5"/>
  <c r="E45" i="5" s="1"/>
  <c r="G45" i="5" s="1"/>
  <c r="H45" i="5" s="1"/>
  <c r="I45" i="5" s="1"/>
  <c r="L35" i="5"/>
  <c r="L36" i="5" s="1"/>
  <c r="C44" i="5"/>
  <c r="Q34" i="5"/>
  <c r="K34" i="1"/>
  <c r="T14" i="1"/>
  <c r="P21" i="5"/>
  <c r="S13" i="5"/>
  <c r="T13" i="5" s="1"/>
  <c r="G45" i="1" l="1"/>
  <c r="H45" i="1" s="1"/>
  <c r="T13" i="1"/>
  <c r="T15" i="1" s="1"/>
  <c r="S13" i="1"/>
  <c r="Q34" i="1"/>
  <c r="T21" i="5"/>
  <c r="P14" i="6"/>
  <c r="E44" i="5"/>
  <c r="D44" i="5"/>
  <c r="S21" i="5"/>
  <c r="I45" i="1" l="1"/>
  <c r="G47" i="1" s="1"/>
  <c r="G44" i="5"/>
  <c r="S22" i="5"/>
  <c r="T22" i="5"/>
  <c r="T23" i="5" s="1"/>
  <c r="H44" i="5" l="1"/>
  <c r="I44" i="5" l="1"/>
  <c r="G4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cksuser016</author>
    <author>Administrator</author>
    <author>cksuser017</author>
  </authors>
  <commentList>
    <comment ref="H10" authorId="0" shapeId="0" xr:uid="{35CA4837-1C05-4803-AE5E-674243D17C14}">
      <text>
        <r>
          <rPr>
            <b/>
            <sz val="9"/>
            <color indexed="81"/>
            <rFont val="ＭＳ Ｐゴシック"/>
            <family val="3"/>
            <charset val="128"/>
          </rPr>
          <t>「所得合計」の欄に入力</t>
        </r>
        <r>
          <rPr>
            <sz val="9"/>
            <color indexed="81"/>
            <rFont val="ＭＳ Ｐゴシック"/>
            <family val="3"/>
            <charset val="128"/>
          </rPr>
          <t xml:space="preserve">
</t>
        </r>
      </text>
    </comment>
    <comment ref="B13" authorId="0" shapeId="0" xr:uid="{BCC7EDB6-8273-4DDB-95A9-005AB6827844}">
      <text>
        <r>
          <rPr>
            <sz val="9"/>
            <color indexed="81"/>
            <rFont val="ＭＳ Ｐゴシック"/>
            <family val="3"/>
            <charset val="128"/>
          </rPr>
          <t xml:space="preserve">擬主の場合は0（月）
後期高齢に移行予定の人は、その前月までの月数
</t>
        </r>
      </text>
    </comment>
    <comment ref="C13" authorId="0" shapeId="0" xr:uid="{A11D11C0-122E-441D-80D0-032D0C80D07C}">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3" authorId="1" shapeId="0" xr:uid="{1C2D55A8-1FE2-4E9F-8136-AA83163102C7}">
      <text>
        <r>
          <rPr>
            <b/>
            <sz val="9"/>
            <color indexed="81"/>
            <rFont val="MS P ゴシック"/>
            <family val="3"/>
            <charset val="128"/>
          </rPr>
          <t>未就学児は６歳に到達後、最初の３月31日以前の者</t>
        </r>
      </text>
    </comment>
    <comment ref="B14" authorId="0" shapeId="0" xr:uid="{1003EFF6-DA63-4406-AE25-738DC47DCA4E}">
      <text>
        <r>
          <rPr>
            <sz val="9"/>
            <color indexed="81"/>
            <rFont val="ＭＳ Ｐゴシック"/>
            <family val="3"/>
            <charset val="128"/>
          </rPr>
          <t xml:space="preserve">擬主の場合は0（月）
後期高齢に移行予定の人は、その前月までの月数
</t>
        </r>
      </text>
    </comment>
    <comment ref="C14" authorId="0" shapeId="0" xr:uid="{715F6F68-6D41-4A37-8F22-F46E6E848DEA}">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4" authorId="1" shapeId="0" xr:uid="{C3CD4F11-99E9-4547-A0CF-078326960FAB}">
      <text>
        <r>
          <rPr>
            <b/>
            <sz val="9"/>
            <color indexed="81"/>
            <rFont val="MS P ゴシック"/>
            <family val="3"/>
            <charset val="128"/>
          </rPr>
          <t>未就学児は６歳に到達後、最初の３月31日以前の者</t>
        </r>
      </text>
    </comment>
    <comment ref="B15" authorId="0" shapeId="0" xr:uid="{ED4C492C-A168-43B7-97A8-9A444E88393E}">
      <text>
        <r>
          <rPr>
            <sz val="9"/>
            <color indexed="81"/>
            <rFont val="ＭＳ Ｐゴシック"/>
            <family val="3"/>
            <charset val="128"/>
          </rPr>
          <t xml:space="preserve">擬主の場合は0（月）
後期高齢に移行予定の人は、その前月までの月数
</t>
        </r>
      </text>
    </comment>
    <comment ref="C15" authorId="0" shapeId="0" xr:uid="{9DB5800B-AA28-45CD-85A2-B3853018E28D}">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5" authorId="1" shapeId="0" xr:uid="{147108AC-1568-4709-9C72-0D25FDA5CD50}">
      <text>
        <r>
          <rPr>
            <b/>
            <sz val="9"/>
            <color indexed="81"/>
            <rFont val="MS P ゴシック"/>
            <family val="3"/>
            <charset val="128"/>
          </rPr>
          <t>未就学児は６歳に到達後、最初の３月31日以前の者</t>
        </r>
      </text>
    </comment>
    <comment ref="B16" authorId="0" shapeId="0" xr:uid="{23E90C8B-9E38-4489-A2E7-3F574C8B8C92}">
      <text>
        <r>
          <rPr>
            <sz val="9"/>
            <color indexed="81"/>
            <rFont val="ＭＳ Ｐゴシック"/>
            <family val="3"/>
            <charset val="128"/>
          </rPr>
          <t xml:space="preserve">擬主の場合は0（月）
後期高齢に移行予定の人は、その前月までの月数
</t>
        </r>
      </text>
    </comment>
    <comment ref="C16" authorId="0" shapeId="0" xr:uid="{11C37B3C-B6DB-4A75-A046-B069DCD99285}">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6" authorId="1" shapeId="0" xr:uid="{653C40C0-720C-4F32-8F4F-76541549EC98}">
      <text>
        <r>
          <rPr>
            <b/>
            <sz val="9"/>
            <color indexed="81"/>
            <rFont val="MS P ゴシック"/>
            <family val="3"/>
            <charset val="128"/>
          </rPr>
          <t>未就学児は６歳に到達後、最初の３月31日以前の者</t>
        </r>
      </text>
    </comment>
    <comment ref="B17" authorId="0" shapeId="0" xr:uid="{71569889-0CA9-4F8E-9320-CD51664F8F8E}">
      <text>
        <r>
          <rPr>
            <sz val="9"/>
            <color indexed="81"/>
            <rFont val="ＭＳ Ｐゴシック"/>
            <family val="3"/>
            <charset val="128"/>
          </rPr>
          <t xml:space="preserve">擬主の場合は0（月）
後期高齢に移行予定の人は、その前月までの月数
</t>
        </r>
      </text>
    </comment>
    <comment ref="C17" authorId="0" shapeId="0" xr:uid="{0DBD7080-4432-4C16-B8E6-61BAF97641DD}">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7" authorId="1" shapeId="0" xr:uid="{F1B857B8-C53B-446A-8726-6599F82379FF}">
      <text>
        <r>
          <rPr>
            <b/>
            <sz val="9"/>
            <color indexed="81"/>
            <rFont val="MS P ゴシック"/>
            <family val="3"/>
            <charset val="128"/>
          </rPr>
          <t>未就学児は６歳に到達後、最初の３月31日以前の者</t>
        </r>
      </text>
    </comment>
    <comment ref="B18" authorId="0" shapeId="0" xr:uid="{A0B5AFE8-9C05-49F7-B9A3-3DD3D3F952C2}">
      <text>
        <r>
          <rPr>
            <sz val="9"/>
            <color indexed="81"/>
            <rFont val="ＭＳ Ｐゴシック"/>
            <family val="3"/>
            <charset val="128"/>
          </rPr>
          <t xml:space="preserve">擬主の場合は0（月）
後期高齢に移行予定の人は、その前月までの月数
</t>
        </r>
      </text>
    </comment>
    <comment ref="C18" authorId="0" shapeId="0" xr:uid="{D77F5AE7-9D9E-4A5A-B3EF-05781C1DF674}">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8" authorId="1" shapeId="0" xr:uid="{E929F7E1-9E97-4D54-8AA3-8AAA70677F41}">
      <text>
        <r>
          <rPr>
            <b/>
            <sz val="9"/>
            <color indexed="81"/>
            <rFont val="MS P ゴシック"/>
            <family val="3"/>
            <charset val="128"/>
          </rPr>
          <t>未就学児は６歳に到達後、最初の３月31日以前の者</t>
        </r>
      </text>
    </comment>
    <comment ref="B19" authorId="0" shapeId="0" xr:uid="{63090555-3967-4CDC-8C2F-250724C6C92B}">
      <text>
        <r>
          <rPr>
            <sz val="9"/>
            <color indexed="81"/>
            <rFont val="ＭＳ Ｐゴシック"/>
            <family val="3"/>
            <charset val="128"/>
          </rPr>
          <t xml:space="preserve">擬主の場合は0（月）
後期高齢に移行予定の人は、その前月までの月数
</t>
        </r>
      </text>
    </comment>
    <comment ref="C19" authorId="0" shapeId="0" xr:uid="{52135A4F-E046-43DE-904D-1C85A64C77BF}">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9" authorId="1" shapeId="0" xr:uid="{147AD60B-CF04-4EA4-A35A-531708A08357}">
      <text>
        <r>
          <rPr>
            <b/>
            <sz val="9"/>
            <color indexed="81"/>
            <rFont val="MS P ゴシック"/>
            <family val="3"/>
            <charset val="128"/>
          </rPr>
          <t>未就学児は６歳に到達後、最初の３月31日以前の者</t>
        </r>
      </text>
    </comment>
    <comment ref="B20" authorId="0" shapeId="0" xr:uid="{54036FB2-15AF-4C96-BF41-B074644AC8C0}">
      <text>
        <r>
          <rPr>
            <sz val="9"/>
            <color indexed="81"/>
            <rFont val="ＭＳ Ｐゴシック"/>
            <family val="3"/>
            <charset val="128"/>
          </rPr>
          <t xml:space="preserve">擬主の場合は0（月）
後期高齢に移行予定の人は、その前月までの月数
</t>
        </r>
      </text>
    </comment>
    <comment ref="C20" authorId="0" shapeId="0" xr:uid="{7B115E90-F50D-49F5-82B7-05B6D8698D4A}">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20" authorId="1" shapeId="0" xr:uid="{07AFA481-055C-4A46-A30B-7A171E2A77B2}">
      <text>
        <r>
          <rPr>
            <b/>
            <sz val="9"/>
            <color indexed="81"/>
            <rFont val="MS P ゴシック"/>
            <family val="3"/>
            <charset val="128"/>
          </rPr>
          <t>未就学児は６歳に到達後、最初の３月31日以前の者</t>
        </r>
      </text>
    </comment>
    <comment ref="B21" authorId="0" shapeId="0" xr:uid="{1D07C87C-0676-4571-A11F-D14BE6B32B55}">
      <text>
        <r>
          <rPr>
            <sz val="9"/>
            <color indexed="81"/>
            <rFont val="ＭＳ Ｐゴシック"/>
            <family val="3"/>
            <charset val="128"/>
          </rPr>
          <t xml:space="preserve">加入者および擬主が未申告の場合、人数を入力（１以上の入力で軽減をかけないようにしてある）
※被扶養者・18歳までの年少者は申告がなくても所得０で計算するので、ここに入れなくてOK
</t>
        </r>
      </text>
    </comment>
    <comment ref="C21" authorId="2" shapeId="0" xr:uid="{E97821F1-7F37-4EF8-839F-0BFADAC6F0B1}">
      <text>
        <r>
          <rPr>
            <sz val="9"/>
            <color indexed="81"/>
            <rFont val="ＭＳ Ｐゴシック"/>
            <family val="3"/>
            <charset val="128"/>
          </rPr>
          <t>給与所得者等とは、一定額（55万円）を超える給与収入を有する者又は一定額（65歳未満は60万円、65歳以上は125
万円）を超える公的年金等の支給を受ける者で給与所得を有しない者をいう</t>
        </r>
      </text>
    </comment>
    <comment ref="E21" authorId="0" shapeId="0" xr:uid="{0574B822-1942-4AD1-BAC2-0FC710F028DC}">
      <text>
        <r>
          <rPr>
            <sz val="9"/>
            <color indexed="81"/>
            <rFont val="ＭＳ Ｐゴシック"/>
            <family val="3"/>
            <charset val="128"/>
          </rPr>
          <t xml:space="preserve">世帯主、被保険者及び特定同一世帯所属者のうち給与所得を有する者の数及び公的年金等に係る所得を有する者の数の合計数を入力する
</t>
        </r>
      </text>
    </comment>
    <comment ref="B39" authorId="0" shapeId="0" xr:uid="{51409866-A14C-4BFB-BE3F-5A0DD63A145A}">
      <text>
        <r>
          <rPr>
            <b/>
            <sz val="9"/>
            <color indexed="81"/>
            <rFont val="ＭＳ Ｐゴシック"/>
            <family val="3"/>
            <charset val="128"/>
          </rPr>
          <t>計算欄がないので、手計算で「総所得－３３万円」の金額を入力してください。</t>
        </r>
      </text>
    </comment>
    <comment ref="C39" authorId="0" shapeId="0" xr:uid="{952DADC7-7E4E-4391-A160-5FEB20A84F2D}">
      <text>
        <r>
          <rPr>
            <b/>
            <sz val="9"/>
            <color indexed="81"/>
            <rFont val="ＭＳ Ｐゴシック"/>
            <family val="3"/>
            <charset val="128"/>
          </rPr>
          <t>加入月～年度末（３月）までの月数</t>
        </r>
      </text>
    </comment>
    <comment ref="D39" authorId="0" shapeId="0" xr:uid="{5A747377-5ACE-42BC-B7A3-E01A109E28FF}">
      <text>
        <r>
          <rPr>
            <b/>
            <sz val="9"/>
            <color indexed="81"/>
            <rFont val="ＭＳ Ｐゴシック"/>
            <family val="3"/>
            <charset val="128"/>
          </rPr>
          <t>４０歳～６４歳までの資格月数（加入～３月末）</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cksuser016</author>
    <author>Administrator</author>
    <author>cksuser017</author>
  </authors>
  <commentList>
    <comment ref="H10" authorId="0" shapeId="0" xr:uid="{00000000-0006-0000-0000-000001000000}">
      <text>
        <r>
          <rPr>
            <b/>
            <sz val="9"/>
            <color indexed="81"/>
            <rFont val="ＭＳ Ｐゴシック"/>
            <family val="3"/>
            <charset val="128"/>
          </rPr>
          <t>「所得合計」の欄に入力</t>
        </r>
        <r>
          <rPr>
            <sz val="9"/>
            <color indexed="81"/>
            <rFont val="ＭＳ Ｐゴシック"/>
            <family val="3"/>
            <charset val="128"/>
          </rPr>
          <t xml:space="preserve">
</t>
        </r>
      </text>
    </comment>
    <comment ref="B13" authorId="0" shapeId="0" xr:uid="{00000000-0006-0000-0000-000002000000}">
      <text>
        <r>
          <rPr>
            <sz val="9"/>
            <color indexed="81"/>
            <rFont val="ＭＳ Ｐゴシック"/>
            <family val="3"/>
            <charset val="128"/>
          </rPr>
          <t xml:space="preserve">擬主の場合は0（月）
後期高齢に移行予定の人は、その前月までの月数
</t>
        </r>
      </text>
    </comment>
    <comment ref="C13" authorId="0" shapeId="0" xr:uid="{00000000-0006-0000-0000-000003000000}">
      <text>
        <r>
          <rPr>
            <sz val="9"/>
            <color indexed="81"/>
            <rFont val="ＭＳ Ｐゴシック"/>
            <family val="3"/>
            <charset val="128"/>
          </rPr>
          <t>擬主は入れなくてOK
年度途中で４０歳到達
→到達月（誕生日の前日の月）
　　～翌３月までの月数入力
年度途中で６５歳到達
→到達月（誕生日の前日の月）
　　４月から到達月（誕生日の前日の月）の前月までの月数入力</t>
        </r>
      </text>
    </comment>
    <comment ref="D13" authorId="1" shapeId="0" xr:uid="{B108F82B-B4C7-474A-82E3-B354DB7A8059}">
      <text>
        <r>
          <rPr>
            <b/>
            <sz val="9"/>
            <color indexed="81"/>
            <rFont val="MS P ゴシック"/>
            <family val="3"/>
            <charset val="128"/>
          </rPr>
          <t>未就学児は６歳に到達後、最初の３月31日以前の者</t>
        </r>
      </text>
    </comment>
    <comment ref="B14" authorId="0" shapeId="0" xr:uid="{4D1CC411-2F80-489F-8396-559E5F95B979}">
      <text>
        <r>
          <rPr>
            <sz val="9"/>
            <color indexed="81"/>
            <rFont val="ＭＳ Ｐゴシック"/>
            <family val="3"/>
            <charset val="128"/>
          </rPr>
          <t xml:space="preserve">擬主の場合は0（月）
後期高齢に移行予定の人は、その前月までの月数
</t>
        </r>
      </text>
    </comment>
    <comment ref="C14" authorId="0" shapeId="0" xr:uid="{00000000-0006-0000-0000-000005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4" authorId="1" shapeId="0" xr:uid="{CF286DE8-AD71-425F-87ED-F62DA5E8FB9E}">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15" authorId="0" shapeId="0" xr:uid="{00000000-0006-0000-0000-000006000000}">
      <text>
        <r>
          <rPr>
            <b/>
            <sz val="9"/>
            <color indexed="81"/>
            <rFont val="ＭＳ Ｐゴシック"/>
            <family val="3"/>
            <charset val="128"/>
          </rPr>
          <t>賦課期日後１か月以内に資格喪失した場合（月割計算されない）場合は０を入力（人数カウントのため）</t>
        </r>
      </text>
    </comment>
    <comment ref="C15" authorId="0" shapeId="0" xr:uid="{00000000-0006-0000-0000-000007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5" authorId="1" shapeId="0" xr:uid="{BA3B7284-C8EA-4953-A131-7295BCF81665}">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16" authorId="0" shapeId="0" xr:uid="{00000000-0006-0000-0000-000008000000}">
      <text>
        <r>
          <rPr>
            <b/>
            <sz val="9"/>
            <color indexed="81"/>
            <rFont val="ＭＳ Ｐゴシック"/>
            <family val="3"/>
            <charset val="128"/>
          </rPr>
          <t>賦課期日後１か月以内に資格喪失した場合（月割計算されない）場合は０を入力（人数カウントのため）</t>
        </r>
      </text>
    </comment>
    <comment ref="C16" authorId="0" shapeId="0" xr:uid="{00000000-0006-0000-0000-000009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6" authorId="1" shapeId="0" xr:uid="{F9D1A4AB-73F4-4E1F-96B1-04C55C608490}">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17" authorId="0" shapeId="0" xr:uid="{00000000-0006-0000-0000-00000A000000}">
      <text>
        <r>
          <rPr>
            <b/>
            <sz val="9"/>
            <color indexed="81"/>
            <rFont val="ＭＳ Ｐゴシック"/>
            <family val="3"/>
            <charset val="128"/>
          </rPr>
          <t>賦課期日後１か月以内に資格喪失した場合（月割計算されない）場合は０を入力（人数カウントのため）</t>
        </r>
      </text>
    </comment>
    <comment ref="C17" authorId="0" shapeId="0" xr:uid="{00000000-0006-0000-0000-00000B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7" authorId="1" shapeId="0" xr:uid="{B455A498-0688-479D-91D3-344F4C89CEF3}">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18" authorId="0" shapeId="0" xr:uid="{00000000-0006-0000-0000-00000C000000}">
      <text>
        <r>
          <rPr>
            <b/>
            <sz val="9"/>
            <color indexed="81"/>
            <rFont val="ＭＳ Ｐゴシック"/>
            <family val="3"/>
            <charset val="128"/>
          </rPr>
          <t>賦課期日後１か月以内に資格喪失した場合（月割計算されない）場合は０を入力（人数カウントのため）</t>
        </r>
      </text>
    </comment>
    <comment ref="C18" authorId="0" shapeId="0" xr:uid="{00000000-0006-0000-0000-00000D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8" authorId="1" shapeId="0" xr:uid="{5C9B6034-D2F5-4AD8-BB30-69B23DA6CA35}">
      <text>
        <r>
          <rPr>
            <b/>
            <sz val="9"/>
            <color indexed="81"/>
            <rFont val="MS P ゴシック"/>
            <family val="3"/>
            <charset val="128"/>
          </rPr>
          <t>未就学児は６歳に到達後、最初の３月31日以前の者</t>
        </r>
      </text>
    </comment>
    <comment ref="B19" authorId="0" shapeId="0" xr:uid="{00000000-0006-0000-0000-00000E000000}">
      <text>
        <r>
          <rPr>
            <b/>
            <sz val="9"/>
            <color indexed="81"/>
            <rFont val="ＭＳ Ｐゴシック"/>
            <family val="3"/>
            <charset val="128"/>
          </rPr>
          <t>賦課期日後１か月以内に資格喪失した場合（月割計算されない）場合は０を入力（人数カウントのため）</t>
        </r>
      </text>
    </comment>
    <comment ref="C19" authorId="0" shapeId="0" xr:uid="{00000000-0006-0000-0000-00000F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19" authorId="1" shapeId="0" xr:uid="{9866512E-504E-4329-A2B5-3F694C478A3A}">
      <text>
        <r>
          <rPr>
            <b/>
            <sz val="9"/>
            <color indexed="81"/>
            <rFont val="MS P ゴシック"/>
            <family val="3"/>
            <charset val="128"/>
          </rPr>
          <t>未就学児は６歳に到達後、最初の３月31日以前の者</t>
        </r>
      </text>
    </comment>
    <comment ref="B20" authorId="0" shapeId="0" xr:uid="{00000000-0006-0000-0000-000010000000}">
      <text>
        <r>
          <rPr>
            <b/>
            <sz val="9"/>
            <color indexed="81"/>
            <rFont val="ＭＳ Ｐゴシック"/>
            <family val="3"/>
            <charset val="128"/>
          </rPr>
          <t>賦課期日後１か月以内に資格喪失した場合（月割計算されない）場合は０を入力（人数カウントのため）</t>
        </r>
      </text>
    </comment>
    <comment ref="C20" authorId="0" shapeId="0" xr:uid="{00000000-0006-0000-0000-000011000000}">
      <text>
        <r>
          <rPr>
            <b/>
            <sz val="9"/>
            <color indexed="81"/>
            <rFont val="ＭＳ Ｐゴシック"/>
            <family val="3"/>
            <charset val="128"/>
          </rPr>
          <t>年度途中で４０歳到達
→到達月（誕生日の前日の月）
　　～翌３月までの月数入力
年度途中で６５歳到達
→到達月（誕生日の前日の月）
　　４月から到達月（誕生日の前日の月）の前月までの月数入力</t>
        </r>
      </text>
    </comment>
    <comment ref="D20" authorId="1" shapeId="0" xr:uid="{60E1AC27-FECB-4596-9083-AB76851C2D92}">
      <text>
        <r>
          <rPr>
            <b/>
            <sz val="9"/>
            <color indexed="81"/>
            <rFont val="MS P ゴシック"/>
            <family val="3"/>
            <charset val="128"/>
          </rPr>
          <t>未就学児は６歳に到達後、最初の３月31日以前の者</t>
        </r>
        <r>
          <rPr>
            <sz val="9"/>
            <color indexed="81"/>
            <rFont val="MS P ゴシック"/>
            <family val="3"/>
            <charset val="128"/>
          </rPr>
          <t xml:space="preserve">
</t>
        </r>
      </text>
    </comment>
    <comment ref="B21" authorId="0" shapeId="0" xr:uid="{00000000-0006-0000-0000-000012000000}">
      <text>
        <r>
          <rPr>
            <sz val="9"/>
            <color indexed="81"/>
            <rFont val="ＭＳ Ｐゴシック"/>
            <family val="3"/>
            <charset val="128"/>
          </rPr>
          <t xml:space="preserve">加入者および擬主が未申告の場合、人数を入力（１以上の入力で軽減をかけないようにしてある）
※被扶養者・18歳までの年少者は申告がなくても所得０で計算するので、ここに入れなくてOK
</t>
        </r>
      </text>
    </comment>
    <comment ref="C21" authorId="2" shapeId="0" xr:uid="{00000000-0006-0000-0000-000013000000}">
      <text>
        <r>
          <rPr>
            <sz val="9"/>
            <color indexed="81"/>
            <rFont val="ＭＳ Ｐゴシック"/>
            <family val="3"/>
            <charset val="128"/>
          </rPr>
          <t>給与所得者等とは、一定額（55万円）を超える給与収入を有する者又は一定額（65歳未満は60万円、65歳以上は125
万円）を超える公的年金等の支給を受ける者で給与所得を有しない者をいう</t>
        </r>
      </text>
    </comment>
    <comment ref="E21" authorId="0" shapeId="0" xr:uid="{00000000-0006-0000-0000-000014000000}">
      <text>
        <r>
          <rPr>
            <sz val="9"/>
            <color indexed="81"/>
            <rFont val="ＭＳ Ｐゴシック"/>
            <family val="3"/>
            <charset val="128"/>
          </rPr>
          <t xml:space="preserve">世帯主、被保険者及び特定同一世帯所属者のうち給与所得を有する者の数及び公的年金等に係る所得を有する者の数の合計数を入力する
</t>
        </r>
      </text>
    </comment>
    <comment ref="B39" authorId="0" shapeId="0" xr:uid="{00000000-0006-0000-0000-000015000000}">
      <text>
        <r>
          <rPr>
            <b/>
            <sz val="9"/>
            <color indexed="81"/>
            <rFont val="ＭＳ Ｐゴシック"/>
            <family val="3"/>
            <charset val="128"/>
          </rPr>
          <t>計算欄がないので、手計算で「総所得－３３万円」の金額を入力してください。</t>
        </r>
      </text>
    </comment>
    <comment ref="C39" authorId="0" shapeId="0" xr:uid="{00000000-0006-0000-0000-000016000000}">
      <text>
        <r>
          <rPr>
            <b/>
            <sz val="9"/>
            <color indexed="81"/>
            <rFont val="ＭＳ Ｐゴシック"/>
            <family val="3"/>
            <charset val="128"/>
          </rPr>
          <t>加入月～年度末（３月）までの月数</t>
        </r>
      </text>
    </comment>
    <comment ref="D39" authorId="0" shapeId="0" xr:uid="{00000000-0006-0000-0000-000017000000}">
      <text>
        <r>
          <rPr>
            <b/>
            <sz val="9"/>
            <color indexed="81"/>
            <rFont val="ＭＳ Ｐゴシック"/>
            <family val="3"/>
            <charset val="128"/>
          </rPr>
          <t>４０歳～６４歳までの資格月数（加入～３月末）</t>
        </r>
      </text>
    </comment>
  </commentList>
</comments>
</file>

<file path=xl/sharedStrings.xml><?xml version="1.0" encoding="utf-8"?>
<sst xmlns="http://schemas.openxmlformats.org/spreadsheetml/2006/main" count="363" uniqueCount="142">
  <si>
    <t>介均等割</t>
    <rPh sb="0" eb="1">
      <t>スケ</t>
    </rPh>
    <rPh sb="1" eb="4">
      <t>キントウワリ</t>
    </rPh>
    <phoneticPr fontId="1"/>
  </si>
  <si>
    <t>※４０歳到達の人の介護分の税額は、４０歳到達後に計算して増額になります。</t>
    <rPh sb="3" eb="4">
      <t>サイ</t>
    </rPh>
    <rPh sb="4" eb="6">
      <t>トウタツ</t>
    </rPh>
    <rPh sb="7" eb="8">
      <t>ヒト</t>
    </rPh>
    <rPh sb="9" eb="11">
      <t>カイゴ</t>
    </rPh>
    <rPh sb="11" eb="12">
      <t>ブン</t>
    </rPh>
    <rPh sb="13" eb="15">
      <t>ゼイガク</t>
    </rPh>
    <rPh sb="19" eb="20">
      <t>サイ</t>
    </rPh>
    <rPh sb="20" eb="22">
      <t>トウタツ</t>
    </rPh>
    <rPh sb="22" eb="23">
      <t>ゴ</t>
    </rPh>
    <rPh sb="24" eb="26">
      <t>ケイサン</t>
    </rPh>
    <rPh sb="28" eb="30">
      <t>ゾウガク</t>
    </rPh>
    <phoneticPr fontId="1"/>
  </si>
  <si>
    <t>介護月割</t>
    <rPh sb="0" eb="2">
      <t>カイゴ</t>
    </rPh>
    <rPh sb="2" eb="4">
      <t>ツキワ</t>
    </rPh>
    <phoneticPr fontId="1"/>
  </si>
  <si>
    <t>資格月数</t>
    <rPh sb="0" eb="2">
      <t>シカク</t>
    </rPh>
    <rPh sb="2" eb="4">
      <t>ツキスウ</t>
    </rPh>
    <phoneticPr fontId="1"/>
  </si>
  <si>
    <t>介所得割</t>
    <rPh sb="0" eb="1">
      <t>スケ</t>
    </rPh>
    <rPh sb="1" eb="4">
      <t>ショトクワリ</t>
    </rPh>
    <phoneticPr fontId="1"/>
  </si>
  <si>
    <t>世帯員6</t>
    <rPh sb="0" eb="2">
      <t>セタイ</t>
    </rPh>
    <rPh sb="2" eb="3">
      <t>イン</t>
    </rPh>
    <phoneticPr fontId="1"/>
  </si>
  <si>
    <t>平等割額</t>
    <rPh sb="0" eb="2">
      <t>ビョウドウ</t>
    </rPh>
    <rPh sb="2" eb="3">
      <t>ワリ</t>
    </rPh>
    <rPh sb="3" eb="4">
      <t>ガク</t>
    </rPh>
    <phoneticPr fontId="1"/>
  </si>
  <si>
    <t>課税基準所得（調整後）</t>
    <rPh sb="0" eb="2">
      <t>カゼイ</t>
    </rPh>
    <rPh sb="2" eb="4">
      <t>キジュン</t>
    </rPh>
    <rPh sb="4" eb="6">
      <t>ショトク</t>
    </rPh>
    <rPh sb="7" eb="10">
      <t>チョウセイゴ</t>
    </rPh>
    <phoneticPr fontId="1"/>
  </si>
  <si>
    <t>所得割率</t>
    <rPh sb="0" eb="2">
      <t>ショトク</t>
    </rPh>
    <rPh sb="2" eb="3">
      <t>ワリ</t>
    </rPh>
    <rPh sb="3" eb="4">
      <t>リツ</t>
    </rPh>
    <phoneticPr fontId="1"/>
  </si>
  <si>
    <t>介護計</t>
    <rPh sb="0" eb="2">
      <t>カイゴ</t>
    </rPh>
    <rPh sb="2" eb="3">
      <t>ケイ</t>
    </rPh>
    <phoneticPr fontId="1"/>
  </si>
  <si>
    <t>均等割額</t>
    <rPh sb="0" eb="3">
      <t>キントウワ</t>
    </rPh>
    <rPh sb="3" eb="4">
      <t>ガク</t>
    </rPh>
    <phoneticPr fontId="1"/>
  </si>
  <si>
    <t>未申告人数</t>
    <rPh sb="0" eb="3">
      <t>ミシンコク</t>
    </rPh>
    <rPh sb="3" eb="5">
      <t>ニンズウ</t>
    </rPh>
    <phoneticPr fontId="1"/>
  </si>
  <si>
    <t>医療計</t>
    <rPh sb="0" eb="2">
      <t>イリョウ</t>
    </rPh>
    <rPh sb="2" eb="3">
      <t>ケイ</t>
    </rPh>
    <phoneticPr fontId="1"/>
  </si>
  <si>
    <t>医所得割</t>
    <rPh sb="0" eb="1">
      <t>イ</t>
    </rPh>
    <rPh sb="1" eb="3">
      <t>ショトク</t>
    </rPh>
    <rPh sb="3" eb="4">
      <t>ワリ</t>
    </rPh>
    <phoneticPr fontId="1"/>
  </si>
  <si>
    <t>課税基準所得</t>
    <rPh sb="0" eb="2">
      <t>カゼイ</t>
    </rPh>
    <rPh sb="2" eb="4">
      <t>キジュン</t>
    </rPh>
    <rPh sb="4" eb="6">
      <t>ショトク</t>
    </rPh>
    <phoneticPr fontId="1"/>
  </si>
  <si>
    <t>支所得割</t>
    <rPh sb="0" eb="2">
      <t>シショ</t>
    </rPh>
    <rPh sb="2" eb="3">
      <t>トク</t>
    </rPh>
    <rPh sb="3" eb="4">
      <t>ワリ</t>
    </rPh>
    <phoneticPr fontId="1"/>
  </si>
  <si>
    <t>軽減判定所得</t>
    <rPh sb="0" eb="2">
      <t>ケイゲン</t>
    </rPh>
    <rPh sb="2" eb="4">
      <t>ハンテイ</t>
    </rPh>
    <rPh sb="4" eb="6">
      <t>ショトク</t>
    </rPh>
    <phoneticPr fontId="1"/>
  </si>
  <si>
    <t>被保険者数</t>
    <rPh sb="0" eb="4">
      <t>ヒホケンシャ</t>
    </rPh>
    <rPh sb="4" eb="5">
      <t>スウ</t>
    </rPh>
    <phoneticPr fontId="1"/>
  </si>
  <si>
    <t>均等割</t>
    <rPh sb="0" eb="3">
      <t>キントウワ</t>
    </rPh>
    <phoneticPr fontId="1"/>
  </si>
  <si>
    <t>支均等割</t>
    <rPh sb="0" eb="1">
      <t>ササ</t>
    </rPh>
    <rPh sb="1" eb="4">
      <t>キントウワリ</t>
    </rPh>
    <phoneticPr fontId="1"/>
  </si>
  <si>
    <t>医均等割</t>
    <rPh sb="0" eb="1">
      <t>イ</t>
    </rPh>
    <rPh sb="1" eb="4">
      <t>キントウワリ</t>
    </rPh>
    <phoneticPr fontId="1"/>
  </si>
  <si>
    <t>世帯構成</t>
    <rPh sb="0" eb="2">
      <t>セタイ</t>
    </rPh>
    <rPh sb="2" eb="4">
      <t>コウセイ</t>
    </rPh>
    <phoneticPr fontId="1"/>
  </si>
  <si>
    <t>世帯主</t>
    <rPh sb="0" eb="3">
      <t>セタイヌシ</t>
    </rPh>
    <phoneticPr fontId="1"/>
  </si>
  <si>
    <t>月割減額</t>
    <rPh sb="0" eb="2">
      <t>ツキワ</t>
    </rPh>
    <rPh sb="2" eb="4">
      <t>ゲンガク</t>
    </rPh>
    <phoneticPr fontId="1"/>
  </si>
  <si>
    <t>世帯員A</t>
    <rPh sb="0" eb="2">
      <t>セタイ</t>
    </rPh>
    <rPh sb="2" eb="3">
      <t>イン</t>
    </rPh>
    <phoneticPr fontId="1"/>
  </si>
  <si>
    <t>平等割減額</t>
    <rPh sb="0" eb="2">
      <t>ビョウドウ</t>
    </rPh>
    <rPh sb="2" eb="3">
      <t>ワリ</t>
    </rPh>
    <rPh sb="3" eb="5">
      <t>ゲンガク</t>
    </rPh>
    <phoneticPr fontId="1"/>
  </si>
  <si>
    <t>世帯員1</t>
    <rPh sb="0" eb="2">
      <t>セタイ</t>
    </rPh>
    <rPh sb="2" eb="3">
      <t>イン</t>
    </rPh>
    <phoneticPr fontId="1"/>
  </si>
  <si>
    <t>２割</t>
    <rPh sb="1" eb="2">
      <t>ワリ</t>
    </rPh>
    <phoneticPr fontId="1"/>
  </si>
  <si>
    <t>世帯員2</t>
    <rPh sb="0" eb="2">
      <t>セタイ</t>
    </rPh>
    <rPh sb="2" eb="3">
      <t>イン</t>
    </rPh>
    <phoneticPr fontId="1"/>
  </si>
  <si>
    <t>所得割</t>
    <rPh sb="0" eb="2">
      <t>ショトク</t>
    </rPh>
    <rPh sb="2" eb="3">
      <t>ワリ</t>
    </rPh>
    <phoneticPr fontId="1"/>
  </si>
  <si>
    <t>世帯員3</t>
    <rPh sb="0" eb="2">
      <t>セタイ</t>
    </rPh>
    <rPh sb="2" eb="3">
      <t>イン</t>
    </rPh>
    <phoneticPr fontId="1"/>
  </si>
  <si>
    <t>世帯員4</t>
    <rPh sb="0" eb="2">
      <t>セタイ</t>
    </rPh>
    <rPh sb="2" eb="3">
      <t>イン</t>
    </rPh>
    <phoneticPr fontId="1"/>
  </si>
  <si>
    <t>世帯員5</t>
    <rPh sb="0" eb="2">
      <t>セタイ</t>
    </rPh>
    <rPh sb="2" eb="3">
      <t>イン</t>
    </rPh>
    <phoneticPr fontId="1"/>
  </si>
  <si>
    <t>（調整：雑損控除等ある場合）</t>
    <rPh sb="1" eb="3">
      <t>チョウセイ</t>
    </rPh>
    <rPh sb="4" eb="6">
      <t>ザッソン</t>
    </rPh>
    <rPh sb="6" eb="8">
      <t>コウジョ</t>
    </rPh>
    <rPh sb="8" eb="9">
      <t>トウ</t>
    </rPh>
    <rPh sb="11" eb="13">
      <t>バアイ</t>
    </rPh>
    <phoneticPr fontId="1"/>
  </si>
  <si>
    <t>世帯員7</t>
    <rPh sb="0" eb="2">
      <t>セタイ</t>
    </rPh>
    <rPh sb="2" eb="3">
      <t>イン</t>
    </rPh>
    <phoneticPr fontId="1"/>
  </si>
  <si>
    <t>65歳以上年金所得</t>
    <rPh sb="2" eb="3">
      <t>サイ</t>
    </rPh>
    <rPh sb="3" eb="5">
      <t>イジョウ</t>
    </rPh>
    <rPh sb="5" eb="7">
      <t>ネンキン</t>
    </rPh>
    <rPh sb="7" eb="9">
      <t>ショトク</t>
    </rPh>
    <phoneticPr fontId="1"/>
  </si>
  <si>
    <t>専給・分離・雑損特控額</t>
    <rPh sb="0" eb="1">
      <t>アツム</t>
    </rPh>
    <rPh sb="1" eb="2">
      <t>キュウ</t>
    </rPh>
    <rPh sb="3" eb="5">
      <t>ブンリ</t>
    </rPh>
    <rPh sb="6" eb="7">
      <t>ザツ</t>
    </rPh>
    <rPh sb="7" eb="8">
      <t>ソン</t>
    </rPh>
    <rPh sb="8" eb="9">
      <t>トク</t>
    </rPh>
    <rPh sb="9" eb="10">
      <t>ヒカエ</t>
    </rPh>
    <rPh sb="10" eb="11">
      <t>ガク</t>
    </rPh>
    <phoneticPr fontId="1"/>
  </si>
  <si>
    <t>判定基準額</t>
    <rPh sb="0" eb="2">
      <t>ハンテイ</t>
    </rPh>
    <rPh sb="2" eb="4">
      <t>キジュン</t>
    </rPh>
    <rPh sb="4" eb="5">
      <t>ガク</t>
    </rPh>
    <phoneticPr fontId="1"/>
  </si>
  <si>
    <t>軽減判定</t>
    <rPh sb="0" eb="2">
      <t>ケイゲン</t>
    </rPh>
    <rPh sb="2" eb="4">
      <t>ハンテイ</t>
    </rPh>
    <phoneticPr fontId="1"/>
  </si>
  <si>
    <t>軽減判定区分</t>
    <rPh sb="0" eb="2">
      <t>ケイゲン</t>
    </rPh>
    <rPh sb="2" eb="4">
      <t>ハンテイ</t>
    </rPh>
    <rPh sb="4" eb="6">
      <t>クブン</t>
    </rPh>
    <phoneticPr fontId="1"/>
  </si>
  <si>
    <t>７割</t>
    <rPh sb="1" eb="2">
      <t>ワリ</t>
    </rPh>
    <phoneticPr fontId="1"/>
  </si>
  <si>
    <t>５割</t>
    <rPh sb="1" eb="2">
      <t>ワリ</t>
    </rPh>
    <phoneticPr fontId="1"/>
  </si>
  <si>
    <t>個人計</t>
    <rPh sb="0" eb="2">
      <t>コジン</t>
    </rPh>
    <rPh sb="2" eb="3">
      <t>ケイ</t>
    </rPh>
    <phoneticPr fontId="1"/>
  </si>
  <si>
    <t>医療＋支援＋介護</t>
    <rPh sb="0" eb="2">
      <t>イリョウ</t>
    </rPh>
    <rPh sb="3" eb="5">
      <t>シエン</t>
    </rPh>
    <rPh sb="6" eb="8">
      <t>カイゴ</t>
    </rPh>
    <phoneticPr fontId="1"/>
  </si>
  <si>
    <t>世帯員７</t>
    <rPh sb="0" eb="2">
      <t>セタイ</t>
    </rPh>
    <rPh sb="2" eb="3">
      <t>イン</t>
    </rPh>
    <phoneticPr fontId="1"/>
  </si>
  <si>
    <t>※現時点での試算ですので、正式に決定になる税額とは異なる場合があります。</t>
  </si>
  <si>
    <t>介護</t>
    <rPh sb="0" eb="2">
      <t>カイゴ</t>
    </rPh>
    <phoneticPr fontId="1"/>
  </si>
  <si>
    <t>支援分</t>
    <rPh sb="0" eb="2">
      <t>シエン</t>
    </rPh>
    <rPh sb="2" eb="3">
      <t>ブン</t>
    </rPh>
    <phoneticPr fontId="1"/>
  </si>
  <si>
    <t>個人別計</t>
    <rPh sb="0" eb="2">
      <t>コジン</t>
    </rPh>
    <rPh sb="2" eb="3">
      <t>ベツ</t>
    </rPh>
    <rPh sb="3" eb="4">
      <t>ケイ</t>
    </rPh>
    <phoneticPr fontId="1"/>
  </si>
  <si>
    <t>支援計</t>
    <rPh sb="0" eb="2">
      <t>シエン</t>
    </rPh>
    <rPh sb="2" eb="3">
      <t>ケイ</t>
    </rPh>
    <phoneticPr fontId="1"/>
  </si>
  <si>
    <t>緑色</t>
    <rPh sb="0" eb="1">
      <t>ミドリ</t>
    </rPh>
    <rPh sb="1" eb="2">
      <t>イロ</t>
    </rPh>
    <phoneticPr fontId="1"/>
  </si>
  <si>
    <t>平等割</t>
    <rPh sb="0" eb="2">
      <t>ビョウドウ</t>
    </rPh>
    <rPh sb="2" eb="3">
      <t>ワリ</t>
    </rPh>
    <phoneticPr fontId="1"/>
  </si>
  <si>
    <t>世帯員B</t>
    <rPh sb="0" eb="2">
      <t>セタイ</t>
    </rPh>
    <rPh sb="2" eb="3">
      <t>イン</t>
    </rPh>
    <phoneticPr fontId="1"/>
  </si>
  <si>
    <t>医療分</t>
    <rPh sb="0" eb="2">
      <t>イリョウ</t>
    </rPh>
    <rPh sb="2" eb="3">
      <t>ブン</t>
    </rPh>
    <phoneticPr fontId="1"/>
  </si>
  <si>
    <t>介護分</t>
    <rPh sb="0" eb="2">
      <t>カイゴ</t>
    </rPh>
    <rPh sb="2" eb="3">
      <t>ブン</t>
    </rPh>
    <phoneticPr fontId="1"/>
  </si>
  <si>
    <t>介護資格月数</t>
    <rPh sb="0" eb="2">
      <t>カイゴ</t>
    </rPh>
    <rPh sb="2" eb="4">
      <t>シカク</t>
    </rPh>
    <rPh sb="4" eb="6">
      <t>ツキスウ</t>
    </rPh>
    <phoneticPr fontId="1"/>
  </si>
  <si>
    <t>計</t>
    <rPh sb="0" eb="1">
      <t>ケイ</t>
    </rPh>
    <phoneticPr fontId="1"/>
  </si>
  <si>
    <t>医療月割</t>
    <rPh sb="0" eb="2">
      <t>イリョウ</t>
    </rPh>
    <rPh sb="2" eb="4">
      <t>ツキワ</t>
    </rPh>
    <phoneticPr fontId="1"/>
  </si>
  <si>
    <t>←入力用セル</t>
    <rPh sb="1" eb="4">
      <t>ニュウリョクヨウ</t>
    </rPh>
    <phoneticPr fontId="1"/>
  </si>
  <si>
    <t>医療</t>
    <rPh sb="0" eb="2">
      <t>イリョウ</t>
    </rPh>
    <phoneticPr fontId="1"/>
  </si>
  <si>
    <t>支援月割</t>
    <rPh sb="0" eb="2">
      <t>シエン</t>
    </rPh>
    <rPh sb="2" eb="4">
      <t>ツキワ</t>
    </rPh>
    <phoneticPr fontId="1"/>
  </si>
  <si>
    <t>月割増額</t>
    <rPh sb="0" eb="2">
      <t>ツキワ</t>
    </rPh>
    <rPh sb="2" eb="4">
      <t>ゾウガク</t>
    </rPh>
    <phoneticPr fontId="1"/>
  </si>
  <si>
    <t>年税額</t>
    <rPh sb="0" eb="3">
      <t>ネンゼイガク</t>
    </rPh>
    <phoneticPr fontId="1"/>
  </si>
  <si>
    <t>各計</t>
    <rPh sb="0" eb="1">
      <t>カク</t>
    </rPh>
    <rPh sb="1" eb="2">
      <t>ケイ</t>
    </rPh>
    <phoneticPr fontId="1"/>
  </si>
  <si>
    <t>支援</t>
    <rPh sb="0" eb="2">
      <t>シエン</t>
    </rPh>
    <phoneticPr fontId="1"/>
  </si>
  <si>
    <t>賦課期日後に資格喪失した世帯員の月割減額</t>
    <rPh sb="0" eb="2">
      <t>フカ</t>
    </rPh>
    <rPh sb="2" eb="4">
      <t>キジツ</t>
    </rPh>
    <rPh sb="4" eb="5">
      <t>ゴ</t>
    </rPh>
    <rPh sb="6" eb="8">
      <t>シカク</t>
    </rPh>
    <rPh sb="8" eb="10">
      <t>ソウシツ</t>
    </rPh>
    <rPh sb="12" eb="15">
      <t>セタイイン</t>
    </rPh>
    <rPh sb="16" eb="18">
      <t>ツキワ</t>
    </rPh>
    <rPh sb="18" eb="20">
      <t>ゲンガク</t>
    </rPh>
    <phoneticPr fontId="1"/>
  </si>
  <si>
    <t>賦課限度額</t>
    <rPh sb="0" eb="2">
      <t>フカ</t>
    </rPh>
    <rPh sb="2" eb="4">
      <t>ゲンド</t>
    </rPh>
    <rPh sb="4" eb="5">
      <t>ガク</t>
    </rPh>
    <phoneticPr fontId="1"/>
  </si>
  <si>
    <t>限度額超</t>
    <rPh sb="0" eb="2">
      <t>ゲンド</t>
    </rPh>
    <rPh sb="2" eb="3">
      <t>ガク</t>
    </rPh>
    <rPh sb="3" eb="4">
      <t>コ</t>
    </rPh>
    <phoneticPr fontId="1"/>
  </si>
  <si>
    <t>年税計</t>
    <rPh sb="0" eb="1">
      <t>ネン</t>
    </rPh>
    <rPh sb="1" eb="2">
      <t>ゼイ</t>
    </rPh>
    <rPh sb="2" eb="3">
      <t>ケイ</t>
    </rPh>
    <phoneticPr fontId="1"/>
  </si>
  <si>
    <t>年金控除</t>
    <rPh sb="0" eb="2">
      <t>ネンキン</t>
    </rPh>
    <rPh sb="2" eb="4">
      <t>コウジョ</t>
    </rPh>
    <phoneticPr fontId="1"/>
  </si>
  <si>
    <t>（擬主を含んだ人数）</t>
    <rPh sb="1" eb="3">
      <t>ギヌシ</t>
    </rPh>
    <rPh sb="4" eb="5">
      <t>フク</t>
    </rPh>
    <rPh sb="7" eb="9">
      <t>ニンズウ</t>
    </rPh>
    <phoneticPr fontId="1"/>
  </si>
  <si>
    <t>（擬主を含まない人数）</t>
    <rPh sb="1" eb="3">
      <t>ギヌシ</t>
    </rPh>
    <rPh sb="4" eb="5">
      <t>フク</t>
    </rPh>
    <rPh sb="8" eb="10">
      <t>ニンズウ</t>
    </rPh>
    <phoneticPr fontId="1"/>
  </si>
  <si>
    <t>給与所得</t>
    <rPh sb="0" eb="2">
      <t>キュウヨ</t>
    </rPh>
    <rPh sb="2" eb="4">
      <t>ショトク</t>
    </rPh>
    <phoneticPr fontId="1"/>
  </si>
  <si>
    <t>介護対象月数〈４０歳～６４歳）</t>
    <rPh sb="0" eb="2">
      <t>カイゴ</t>
    </rPh>
    <rPh sb="2" eb="4">
      <t>タイショウ</t>
    </rPh>
    <rPh sb="4" eb="5">
      <t>ツキ</t>
    </rPh>
    <rPh sb="5" eb="6">
      <t>スウ</t>
    </rPh>
    <rPh sb="9" eb="10">
      <t>サイ</t>
    </rPh>
    <rPh sb="13" eb="14">
      <t>サイ</t>
    </rPh>
    <phoneticPr fontId="1"/>
  </si>
  <si>
    <t>黄色</t>
    <rPh sb="0" eb="2">
      <t>キイロ</t>
    </rPh>
    <phoneticPr fontId="1"/>
  </si>
  <si>
    <t>←パラメータ入力用セル</t>
    <rPh sb="6" eb="8">
      <t>ニュウリョク</t>
    </rPh>
    <rPh sb="8" eb="9">
      <t>ヨウ</t>
    </rPh>
    <phoneticPr fontId="1"/>
  </si>
  <si>
    <t>賦課額</t>
    <rPh sb="0" eb="2">
      <t>フカ</t>
    </rPh>
    <rPh sb="2" eb="3">
      <t>ガク</t>
    </rPh>
    <phoneticPr fontId="1"/>
  </si>
  <si>
    <t>賦課期日現在の世帯</t>
    <rPh sb="0" eb="2">
      <t>フカ</t>
    </rPh>
    <rPh sb="2" eb="4">
      <t>キジツ</t>
    </rPh>
    <rPh sb="4" eb="6">
      <t>ゲンザイ</t>
    </rPh>
    <rPh sb="7" eb="9">
      <t>セタイ</t>
    </rPh>
    <phoneticPr fontId="1"/>
  </si>
  <si>
    <t>所得金額</t>
    <rPh sb="0" eb="2">
      <t>ショトク</t>
    </rPh>
    <rPh sb="2" eb="4">
      <t>キンガク</t>
    </rPh>
    <phoneticPr fontId="1"/>
  </si>
  <si>
    <t>※賦課期日（当該年度の４月１日、もしくは世帯で新規に資格を取得した日）現在の状況（資格喪失者も含む）</t>
    <rPh sb="1" eb="3">
      <t>フカ</t>
    </rPh>
    <rPh sb="3" eb="5">
      <t>キジツ</t>
    </rPh>
    <rPh sb="6" eb="8">
      <t>トウガイ</t>
    </rPh>
    <rPh sb="8" eb="10">
      <t>ネンド</t>
    </rPh>
    <rPh sb="12" eb="13">
      <t>ガツ</t>
    </rPh>
    <rPh sb="14" eb="15">
      <t>ニチ</t>
    </rPh>
    <rPh sb="20" eb="22">
      <t>セタイ</t>
    </rPh>
    <rPh sb="23" eb="25">
      <t>シンキ</t>
    </rPh>
    <rPh sb="26" eb="28">
      <t>シカク</t>
    </rPh>
    <rPh sb="29" eb="31">
      <t>シュトク</t>
    </rPh>
    <rPh sb="33" eb="34">
      <t>ヒ</t>
    </rPh>
    <rPh sb="35" eb="37">
      <t>ゲンザイ</t>
    </rPh>
    <rPh sb="38" eb="40">
      <t>ジョウキョウ</t>
    </rPh>
    <rPh sb="41" eb="43">
      <t>シカク</t>
    </rPh>
    <rPh sb="43" eb="46">
      <t>ソウシツシャ</t>
    </rPh>
    <rPh sb="47" eb="48">
      <t>フク</t>
    </rPh>
    <phoneticPr fontId="1"/>
  </si>
  <si>
    <t>〈年金所得　１５万円控除後）</t>
    <rPh sb="1" eb="3">
      <t>ネンキン</t>
    </rPh>
    <rPh sb="3" eb="5">
      <t>ショトク</t>
    </rPh>
    <rPh sb="8" eb="9">
      <t>マン</t>
    </rPh>
    <rPh sb="9" eb="10">
      <t>エン</t>
    </rPh>
    <rPh sb="10" eb="12">
      <t>コウジョ</t>
    </rPh>
    <rPh sb="12" eb="13">
      <t>ゴ</t>
    </rPh>
    <phoneticPr fontId="1"/>
  </si>
  <si>
    <t>※端数調整の関係で、１００円単位の増減が生じることがあります。</t>
    <rPh sb="1" eb="3">
      <t>ハスウ</t>
    </rPh>
    <rPh sb="3" eb="5">
      <t>チョウセイ</t>
    </rPh>
    <rPh sb="6" eb="8">
      <t>カンケイ</t>
    </rPh>
    <rPh sb="13" eb="14">
      <t>エン</t>
    </rPh>
    <rPh sb="14" eb="16">
      <t>タンイ</t>
    </rPh>
    <rPh sb="17" eb="19">
      <t>ゾウゲン</t>
    </rPh>
    <rPh sb="20" eb="21">
      <t>ショウ</t>
    </rPh>
    <phoneticPr fontId="1"/>
  </si>
  <si>
    <t>※反対に６５歳到達予定の人の介護分は、年度当初に月割り減額をして通知します。</t>
    <rPh sb="1" eb="3">
      <t>ハンタイ</t>
    </rPh>
    <rPh sb="6" eb="7">
      <t>サイ</t>
    </rPh>
    <rPh sb="7" eb="9">
      <t>トウタツ</t>
    </rPh>
    <rPh sb="9" eb="11">
      <t>ヨテイ</t>
    </rPh>
    <rPh sb="12" eb="13">
      <t>ヒト</t>
    </rPh>
    <rPh sb="14" eb="16">
      <t>カイゴ</t>
    </rPh>
    <rPh sb="16" eb="17">
      <t>ブン</t>
    </rPh>
    <rPh sb="19" eb="21">
      <t>ネンド</t>
    </rPh>
    <rPh sb="21" eb="23">
      <t>トウショ</t>
    </rPh>
    <rPh sb="24" eb="25">
      <t>ツキ</t>
    </rPh>
    <rPh sb="25" eb="26">
      <t>ワ</t>
    </rPh>
    <rPh sb="27" eb="29">
      <t>ゲンガク</t>
    </rPh>
    <rPh sb="32" eb="34">
      <t>ツウチ</t>
    </rPh>
    <phoneticPr fontId="1"/>
  </si>
  <si>
    <t>年度末または資格喪失予定までの加入月数（月）</t>
    <rPh sb="0" eb="3">
      <t>ネンドマツ</t>
    </rPh>
    <rPh sb="6" eb="8">
      <t>シカク</t>
    </rPh>
    <rPh sb="8" eb="10">
      <t>ソウシツ</t>
    </rPh>
    <rPh sb="10" eb="12">
      <t>ヨテイ</t>
    </rPh>
    <rPh sb="15" eb="17">
      <t>カニュウ</t>
    </rPh>
    <rPh sb="17" eb="19">
      <t>ツキスウ</t>
    </rPh>
    <rPh sb="20" eb="21">
      <t>ツキ</t>
    </rPh>
    <phoneticPr fontId="1"/>
  </si>
  <si>
    <t>賦課期日後に資格取得した(世帯員の月割計算増額分)世帯員１～７以外）</t>
    <rPh sb="0" eb="2">
      <t>フカ</t>
    </rPh>
    <rPh sb="2" eb="4">
      <t>キジツ</t>
    </rPh>
    <rPh sb="4" eb="5">
      <t>ゴ</t>
    </rPh>
    <rPh sb="6" eb="8">
      <t>シカク</t>
    </rPh>
    <rPh sb="8" eb="10">
      <t>シュトク</t>
    </rPh>
    <rPh sb="13" eb="16">
      <t>セタイイン</t>
    </rPh>
    <rPh sb="17" eb="19">
      <t>ツキワ</t>
    </rPh>
    <rPh sb="19" eb="21">
      <t>ケイサン</t>
    </rPh>
    <rPh sb="21" eb="24">
      <t>ゾウガクブン</t>
    </rPh>
    <rPh sb="25" eb="27">
      <t>セタイ</t>
    </rPh>
    <rPh sb="27" eb="28">
      <t>イン</t>
    </rPh>
    <rPh sb="31" eb="33">
      <t>イガイ</t>
    </rPh>
    <phoneticPr fontId="1"/>
  </si>
  <si>
    <t>（国保単身世帯）</t>
    <rPh sb="1" eb="3">
      <t>コクホ</t>
    </rPh>
    <rPh sb="3" eb="5">
      <t>タンシン</t>
    </rPh>
    <rPh sb="5" eb="7">
      <t>セタイ</t>
    </rPh>
    <phoneticPr fontId="1"/>
  </si>
  <si>
    <t>2割該当</t>
    <rPh sb="1" eb="2">
      <t>ワリ</t>
    </rPh>
    <rPh sb="2" eb="4">
      <t>ガイトウ</t>
    </rPh>
    <phoneticPr fontId="1"/>
  </si>
  <si>
    <t>5割該当</t>
    <rPh sb="1" eb="2">
      <t>ワリ</t>
    </rPh>
    <rPh sb="2" eb="4">
      <t>ガイトウ</t>
    </rPh>
    <phoneticPr fontId="1"/>
  </si>
  <si>
    <t>7割該当</t>
    <rPh sb="1" eb="2">
      <t>ワリ</t>
    </rPh>
    <rPh sb="2" eb="4">
      <t>ガイトウ</t>
    </rPh>
    <phoneticPr fontId="1"/>
  </si>
  <si>
    <t>医療＋支援</t>
    <rPh sb="0" eb="2">
      <t>イリョウ</t>
    </rPh>
    <rPh sb="3" eb="5">
      <t>シエン</t>
    </rPh>
    <phoneticPr fontId="1"/>
  </si>
  <si>
    <t>※軽減後の額</t>
    <rPh sb="1" eb="3">
      <t>ケイゲン</t>
    </rPh>
    <rPh sb="3" eb="4">
      <t>ゴ</t>
    </rPh>
    <rPh sb="5" eb="6">
      <t>ガク</t>
    </rPh>
    <phoneticPr fontId="1"/>
  </si>
  <si>
    <t>保険税額（軽減）一覧</t>
    <rPh sb="0" eb="2">
      <t>ホケン</t>
    </rPh>
    <rPh sb="2" eb="3">
      <t>ゼイ</t>
    </rPh>
    <rPh sb="3" eb="4">
      <t>ガク</t>
    </rPh>
    <rPh sb="5" eb="7">
      <t>ケイゲン</t>
    </rPh>
    <rPh sb="8" eb="10">
      <t>イチラン</t>
    </rPh>
    <phoneticPr fontId="1"/>
  </si>
  <si>
    <t>所得合計</t>
    <rPh sb="0" eb="2">
      <t>ショトク</t>
    </rPh>
    <rPh sb="2" eb="4">
      <t>ゴウケイ</t>
    </rPh>
    <phoneticPr fontId="1"/>
  </si>
  <si>
    <t>非自発該当</t>
    <rPh sb="0" eb="1">
      <t>ヒ</t>
    </rPh>
    <rPh sb="1" eb="3">
      <t>ジハツ</t>
    </rPh>
    <rPh sb="3" eb="5">
      <t>ガイトウ</t>
    </rPh>
    <phoneticPr fontId="1"/>
  </si>
  <si>
    <t>（40～64歳）</t>
    <rPh sb="6" eb="7">
      <t>サイ</t>
    </rPh>
    <phoneticPr fontId="1"/>
  </si>
  <si>
    <t>左の年齢以外</t>
    <rPh sb="0" eb="1">
      <t>ヒダリ</t>
    </rPh>
    <rPh sb="2" eb="4">
      <t>ネンレイ</t>
    </rPh>
    <rPh sb="4" eb="6">
      <t>イガイ</t>
    </rPh>
    <phoneticPr fontId="1"/>
  </si>
  <si>
    <t>←30/100</t>
  </si>
  <si>
    <t>←そのまま</t>
  </si>
  <si>
    <t>非自発的失業者本人分所得</t>
    <rPh sb="0" eb="1">
      <t>ヒ</t>
    </rPh>
    <rPh sb="1" eb="4">
      <t>ジハツテキ</t>
    </rPh>
    <rPh sb="4" eb="7">
      <t>シツギョウシャ</t>
    </rPh>
    <rPh sb="7" eb="9">
      <t>ホンニン</t>
    </rPh>
    <rPh sb="9" eb="10">
      <t>ブン</t>
    </rPh>
    <rPh sb="10" eb="12">
      <t>ショトク</t>
    </rPh>
    <phoneticPr fontId="1"/>
  </si>
  <si>
    <t>ほか所得計</t>
    <rPh sb="2" eb="4">
      <t>ショトク</t>
    </rPh>
    <rPh sb="4" eb="5">
      <t>ケイ</t>
    </rPh>
    <phoneticPr fontId="1"/>
  </si>
  <si>
    <t>.</t>
  </si>
  <si>
    <t>給与所得者等の数</t>
    <rPh sb="0" eb="2">
      <t>キュウヨ</t>
    </rPh>
    <rPh sb="2" eb="4">
      <t>ショトク</t>
    </rPh>
    <rPh sb="4" eb="5">
      <t>シャ</t>
    </rPh>
    <rPh sb="5" eb="6">
      <t>トウ</t>
    </rPh>
    <rPh sb="7" eb="8">
      <t>カズ</t>
    </rPh>
    <phoneticPr fontId="1"/>
  </si>
  <si>
    <t>未就学児</t>
    <rPh sb="0" eb="4">
      <t>ミシュウガクジ</t>
    </rPh>
    <phoneticPr fontId="1"/>
  </si>
  <si>
    <t>未就学児
（非該当＝0,該当＝1）</t>
    <rPh sb="0" eb="4">
      <t>ミシュウガクジ</t>
    </rPh>
    <rPh sb="6" eb="9">
      <t>ヒガイトウ</t>
    </rPh>
    <rPh sb="12" eb="14">
      <t>ガイトウ</t>
    </rPh>
    <phoneticPr fontId="1"/>
  </si>
  <si>
    <t>(支)未就学児軽減額</t>
    <rPh sb="1" eb="2">
      <t>シ</t>
    </rPh>
    <rPh sb="3" eb="7">
      <t>ミシュウガクジ</t>
    </rPh>
    <rPh sb="7" eb="9">
      <t>ケイゲン</t>
    </rPh>
    <rPh sb="9" eb="10">
      <t>ガク</t>
    </rPh>
    <phoneticPr fontId="1"/>
  </si>
  <si>
    <t>(医)未就学児軽減額</t>
    <rPh sb="1" eb="2">
      <t>イ</t>
    </rPh>
    <rPh sb="3" eb="7">
      <t>ミシュウガクジ</t>
    </rPh>
    <rPh sb="7" eb="9">
      <t>ケイゲン</t>
    </rPh>
    <rPh sb="9" eb="10">
      <t>ガク</t>
    </rPh>
    <phoneticPr fontId="1"/>
  </si>
  <si>
    <t>課税基準所得（43万円控除後の額）</t>
    <rPh sb="0" eb="2">
      <t>カゼイ</t>
    </rPh>
    <rPh sb="2" eb="4">
      <t>キジュン</t>
    </rPh>
    <rPh sb="4" eb="6">
      <t>ショトク</t>
    </rPh>
    <rPh sb="9" eb="11">
      <t>マンエン</t>
    </rPh>
    <rPh sb="11" eb="13">
      <t>コウジョ</t>
    </rPh>
    <rPh sb="13" eb="14">
      <t>アト</t>
    </rPh>
    <rPh sb="15" eb="16">
      <t>ガク</t>
    </rPh>
    <phoneticPr fontId="1"/>
  </si>
  <si>
    <t>合計</t>
    <rPh sb="0" eb="2">
      <t>ゴウケイ</t>
    </rPh>
    <phoneticPr fontId="1"/>
  </si>
  <si>
    <t>合計</t>
    <rPh sb="0" eb="2">
      <t>ゴウケイ</t>
    </rPh>
    <phoneticPr fontId="1"/>
  </si>
  <si>
    <t>個人別計</t>
    <rPh sb="0" eb="2">
      <t>コジン</t>
    </rPh>
    <rPh sb="2" eb="3">
      <t>ベツ</t>
    </rPh>
    <rPh sb="3" eb="4">
      <t>ケイ</t>
    </rPh>
    <phoneticPr fontId="1"/>
  </si>
  <si>
    <t>平等割合計</t>
    <rPh sb="0" eb="2">
      <t>ビョウドウ</t>
    </rPh>
    <rPh sb="2" eb="3">
      <t>ワリ</t>
    </rPh>
    <rPh sb="3" eb="5">
      <t>ゴウケイ</t>
    </rPh>
    <phoneticPr fontId="1"/>
  </si>
  <si>
    <t>◎個人別保険税額</t>
    <rPh sb="1" eb="3">
      <t>コジン</t>
    </rPh>
    <rPh sb="3" eb="4">
      <t>ベツ</t>
    </rPh>
    <rPh sb="4" eb="6">
      <t>ホケン</t>
    </rPh>
    <rPh sb="6" eb="7">
      <t>ゼイ</t>
    </rPh>
    <rPh sb="7" eb="8">
      <t>ガク</t>
    </rPh>
    <phoneticPr fontId="1"/>
  </si>
  <si>
    <t>　 誤差が発生する場合があります</t>
    <phoneticPr fontId="1"/>
  </si>
  <si>
    <t>医療保険分</t>
    <rPh sb="0" eb="2">
      <t>イリョウ</t>
    </rPh>
    <rPh sb="2" eb="4">
      <t>ホケン</t>
    </rPh>
    <rPh sb="4" eb="5">
      <t>ブン</t>
    </rPh>
    <phoneticPr fontId="1"/>
  </si>
  <si>
    <t>後期高齢者支援金分</t>
    <rPh sb="0" eb="2">
      <t>コウキ</t>
    </rPh>
    <rPh sb="2" eb="5">
      <t>コウレイシャ</t>
    </rPh>
    <rPh sb="5" eb="7">
      <t>シエン</t>
    </rPh>
    <rPh sb="7" eb="8">
      <t>キン</t>
    </rPh>
    <rPh sb="8" eb="9">
      <t>ブン</t>
    </rPh>
    <phoneticPr fontId="1"/>
  </si>
  <si>
    <t>介護納付金分</t>
    <rPh sb="0" eb="2">
      <t>カイゴ</t>
    </rPh>
    <rPh sb="2" eb="5">
      <t>ノウフキン</t>
    </rPh>
    <rPh sb="5" eb="6">
      <t>ブン</t>
    </rPh>
    <phoneticPr fontId="1"/>
  </si>
  <si>
    <t>保険料合計</t>
    <rPh sb="0" eb="3">
      <t>ホケンリョウ</t>
    </rPh>
    <rPh sb="3" eb="5">
      <t>ゴウケイ</t>
    </rPh>
    <phoneticPr fontId="1"/>
  </si>
  <si>
    <t>※小数点以下切り捨ての関係で数百円</t>
    <rPh sb="1" eb="6">
      <t>ショウスウテンイカ</t>
    </rPh>
    <rPh sb="6" eb="7">
      <t>キ</t>
    </rPh>
    <rPh sb="8" eb="9">
      <t>ス</t>
    </rPh>
    <rPh sb="11" eb="13">
      <t>カンケイ</t>
    </rPh>
    <rPh sb="14" eb="16">
      <t>スウヒャク</t>
    </rPh>
    <rPh sb="16" eb="17">
      <t>エン</t>
    </rPh>
    <phoneticPr fontId="1"/>
  </si>
  <si>
    <t>⇒</t>
    <phoneticPr fontId="1"/>
  </si>
  <si>
    <t>加入予定月数の内、40歳～64歳である月数</t>
    <rPh sb="0" eb="2">
      <t>カニュウ</t>
    </rPh>
    <rPh sb="2" eb="4">
      <t>ヨテイ</t>
    </rPh>
    <rPh sb="4" eb="6">
      <t>ツキスウ</t>
    </rPh>
    <rPh sb="7" eb="8">
      <t>ウチ</t>
    </rPh>
    <rPh sb="11" eb="12">
      <t>サイ</t>
    </rPh>
    <rPh sb="15" eb="16">
      <t>サイ</t>
    </rPh>
    <rPh sb="19" eb="20">
      <t>ツキ</t>
    </rPh>
    <rPh sb="20" eb="21">
      <t>スウ</t>
    </rPh>
    <phoneticPr fontId="1"/>
  </si>
  <si>
    <t>①</t>
    <phoneticPr fontId="1"/>
  </si>
  <si>
    <t>②</t>
    <phoneticPr fontId="1"/>
  </si>
  <si>
    <t>③</t>
    <phoneticPr fontId="1"/>
  </si>
  <si>
    <t>④</t>
    <phoneticPr fontId="1"/>
  </si>
  <si>
    <t>⑤</t>
    <phoneticPr fontId="1"/>
  </si>
  <si>
    <t>⑥</t>
    <phoneticPr fontId="1"/>
  </si>
  <si>
    <t xml:space="preserve">試算保険税額
</t>
    <rPh sb="0" eb="2">
      <t>シサン</t>
    </rPh>
    <rPh sb="2" eb="4">
      <t>ホケン</t>
    </rPh>
    <rPh sb="4" eb="5">
      <t>ゼイ</t>
    </rPh>
    <rPh sb="5" eb="6">
      <t>ガク</t>
    </rPh>
    <phoneticPr fontId="1"/>
  </si>
  <si>
    <r>
      <t>未就学児判定
（該当する場合は、</t>
    </r>
    <r>
      <rPr>
        <b/>
        <sz val="14"/>
        <rFont val="ＭＳ Ｐゴシック"/>
        <family val="3"/>
        <charset val="128"/>
      </rPr>
      <t>1</t>
    </r>
    <r>
      <rPr>
        <sz val="11"/>
        <rFont val="ＭＳ Ｐゴシック"/>
        <family val="3"/>
        <charset val="128"/>
      </rPr>
      <t>　と入力してください）</t>
    </r>
    <rPh sb="0" eb="3">
      <t>ミシュウガク</t>
    </rPh>
    <rPh sb="3" eb="4">
      <t>ジ</t>
    </rPh>
    <rPh sb="4" eb="6">
      <t>ハンテイ</t>
    </rPh>
    <phoneticPr fontId="1"/>
  </si>
  <si>
    <t>　世帯内に未申告者がいる場合は、国民健康保険税の軽減区分を判定できないため、住民税申告を行ってください。</t>
    <phoneticPr fontId="1"/>
  </si>
  <si>
    <t>年金所得（前年の１２月３１日時点６５歳以上の方のみ入力）</t>
    <rPh sb="0" eb="2">
      <t>ネンキン</t>
    </rPh>
    <rPh sb="2" eb="4">
      <t>ショトク</t>
    </rPh>
    <rPh sb="5" eb="7">
      <t>ゼンネン</t>
    </rPh>
    <rPh sb="10" eb="11">
      <t>ガツ</t>
    </rPh>
    <rPh sb="13" eb="14">
      <t>ニチ</t>
    </rPh>
    <rPh sb="14" eb="16">
      <t>ジテン</t>
    </rPh>
    <rPh sb="18" eb="19">
      <t>サイ</t>
    </rPh>
    <rPh sb="19" eb="21">
      <t>イジョウ</t>
    </rPh>
    <rPh sb="22" eb="23">
      <t>カタ</t>
    </rPh>
    <rPh sb="25" eb="27">
      <t>ニュウリョク</t>
    </rPh>
    <phoneticPr fontId="1"/>
  </si>
  <si>
    <t>⑦</t>
    <phoneticPr fontId="1"/>
  </si>
  <si>
    <t>◎この試算表は、世帯に未申告者がいないことを前提とした試算のみ対応しています。</t>
    <rPh sb="3" eb="6">
      <t>シサンヒョウ</t>
    </rPh>
    <rPh sb="8" eb="10">
      <t>セタイ</t>
    </rPh>
    <rPh sb="11" eb="15">
      <t>ミシンコクシャ</t>
    </rPh>
    <rPh sb="22" eb="24">
      <t>ゼンテイ</t>
    </rPh>
    <rPh sb="27" eb="29">
      <t>シサン</t>
    </rPh>
    <rPh sb="31" eb="33">
      <t>タイオウ</t>
    </rPh>
    <phoneticPr fontId="1"/>
  </si>
  <si>
    <t>　後日、住民税申告をする予定の方は、申告予定の所得を入力してください。</t>
    <rPh sb="1" eb="3">
      <t>ゴジツ</t>
    </rPh>
    <rPh sb="4" eb="7">
      <t>ジュウミンゼイ</t>
    </rPh>
    <rPh sb="7" eb="9">
      <t>シンコク</t>
    </rPh>
    <rPh sb="12" eb="14">
      <t>ヨテイ</t>
    </rPh>
    <rPh sb="15" eb="16">
      <t>カタ</t>
    </rPh>
    <rPh sb="18" eb="20">
      <t>シンコク</t>
    </rPh>
    <rPh sb="20" eb="22">
      <t>ヨテイ</t>
    </rPh>
    <rPh sb="23" eb="25">
      <t>ショトク</t>
    </rPh>
    <rPh sb="26" eb="28">
      <t>ニュウリョク</t>
    </rPh>
    <phoneticPr fontId="1"/>
  </si>
  <si>
    <t>専従者給与・分離特別控除額を入力してください。これらの控除がない方は入力の必要はありません。</t>
    <rPh sb="0" eb="1">
      <t>アツム</t>
    </rPh>
    <rPh sb="1" eb="3">
      <t>ジュウシャ</t>
    </rPh>
    <rPh sb="3" eb="4">
      <t>キュウ</t>
    </rPh>
    <rPh sb="4" eb="5">
      <t>ヨ</t>
    </rPh>
    <rPh sb="6" eb="8">
      <t>ブンリ</t>
    </rPh>
    <rPh sb="8" eb="9">
      <t>トク</t>
    </rPh>
    <rPh sb="9" eb="10">
      <t>ベツ</t>
    </rPh>
    <rPh sb="10" eb="11">
      <t>ヒカエ</t>
    </rPh>
    <rPh sb="11" eb="12">
      <t>ジョ</t>
    </rPh>
    <rPh sb="12" eb="13">
      <t>ガク</t>
    </rPh>
    <rPh sb="14" eb="16">
      <t>ニュウリョク</t>
    </rPh>
    <rPh sb="27" eb="29">
      <t>コウジョ</t>
    </rPh>
    <rPh sb="32" eb="33">
      <t>カタ</t>
    </rPh>
    <rPh sb="34" eb="36">
      <t>ニュウリョク</t>
    </rPh>
    <rPh sb="37" eb="39">
      <t>ヒツヨウ</t>
    </rPh>
    <phoneticPr fontId="1"/>
  </si>
  <si>
    <t>世帯内で所得がある人の人数を入力してください。
ただし、65歳以上で、自身の所得が年金所得のみ、且つ、年金所得が１５万円以下の場合は、所得なしとして人数から除外してください。</t>
    <rPh sb="0" eb="2">
      <t>セタイ</t>
    </rPh>
    <rPh sb="2" eb="3">
      <t>ナイ</t>
    </rPh>
    <rPh sb="4" eb="6">
      <t>ショトク</t>
    </rPh>
    <rPh sb="9" eb="10">
      <t>ヒト</t>
    </rPh>
    <rPh sb="11" eb="13">
      <t>ニンズウ</t>
    </rPh>
    <rPh sb="14" eb="16">
      <t>ニュウリョク</t>
    </rPh>
    <rPh sb="30" eb="31">
      <t>サイ</t>
    </rPh>
    <rPh sb="31" eb="33">
      <t>イジョウ</t>
    </rPh>
    <rPh sb="35" eb="37">
      <t>ジシン</t>
    </rPh>
    <rPh sb="38" eb="40">
      <t>ショトク</t>
    </rPh>
    <rPh sb="41" eb="43">
      <t>ネンキン</t>
    </rPh>
    <rPh sb="43" eb="45">
      <t>ショトク</t>
    </rPh>
    <rPh sb="48" eb="49">
      <t>カ</t>
    </rPh>
    <rPh sb="51" eb="53">
      <t>ネンキン</t>
    </rPh>
    <rPh sb="53" eb="55">
      <t>ショトク</t>
    </rPh>
    <rPh sb="58" eb="59">
      <t>マン</t>
    </rPh>
    <rPh sb="59" eb="60">
      <t>エン</t>
    </rPh>
    <rPh sb="60" eb="62">
      <t>イカ</t>
    </rPh>
    <rPh sb="63" eb="65">
      <t>バアイ</t>
    </rPh>
    <rPh sb="67" eb="69">
      <t>ショトク</t>
    </rPh>
    <rPh sb="74" eb="76">
      <t>ニンズ</t>
    </rPh>
    <rPh sb="78" eb="80">
      <t>ジョガイ</t>
    </rPh>
    <phoneticPr fontId="1"/>
  </si>
  <si>
    <t>　試算表の下に入力例がありますので、ご参考にしてください。</t>
    <rPh sb="1" eb="3">
      <t>シサン</t>
    </rPh>
    <rPh sb="3" eb="4">
      <t>ヒョウ</t>
    </rPh>
    <rPh sb="5" eb="6">
      <t>シタ</t>
    </rPh>
    <rPh sb="7" eb="9">
      <t>ニュウリョク</t>
    </rPh>
    <rPh sb="9" eb="10">
      <t>レイ</t>
    </rPh>
    <rPh sb="19" eb="21">
      <t>サンコウ</t>
    </rPh>
    <phoneticPr fontId="1"/>
  </si>
  <si>
    <t>⇒</t>
    <phoneticPr fontId="1"/>
  </si>
  <si>
    <t>世帯主と加入者で所得がある人の人数を入力してください。
ただし、65歳以上で、自身の所得が年金所得のみ、且つ、年金所得が１５万円以下の場合は、所得なしとして人数から除外してください。</t>
    <rPh sb="0" eb="3">
      <t>セタイヌシ</t>
    </rPh>
    <rPh sb="4" eb="6">
      <t>カニュウ</t>
    </rPh>
    <rPh sb="6" eb="7">
      <t>シャ</t>
    </rPh>
    <rPh sb="8" eb="10">
      <t>ショトク</t>
    </rPh>
    <rPh sb="13" eb="14">
      <t>ヒト</t>
    </rPh>
    <rPh sb="15" eb="17">
      <t>ニンズウ</t>
    </rPh>
    <rPh sb="18" eb="20">
      <t>ニュウリョク</t>
    </rPh>
    <rPh sb="34" eb="35">
      <t>サイ</t>
    </rPh>
    <rPh sb="35" eb="37">
      <t>イジョウ</t>
    </rPh>
    <rPh sb="39" eb="41">
      <t>ジシン</t>
    </rPh>
    <rPh sb="42" eb="44">
      <t>ショトク</t>
    </rPh>
    <rPh sb="45" eb="47">
      <t>ネンキン</t>
    </rPh>
    <rPh sb="47" eb="49">
      <t>ショトク</t>
    </rPh>
    <rPh sb="52" eb="53">
      <t>カ</t>
    </rPh>
    <rPh sb="55" eb="57">
      <t>ネンキン</t>
    </rPh>
    <rPh sb="57" eb="59">
      <t>ショトク</t>
    </rPh>
    <rPh sb="62" eb="63">
      <t>マン</t>
    </rPh>
    <rPh sb="63" eb="64">
      <t>エン</t>
    </rPh>
    <rPh sb="64" eb="66">
      <t>イカ</t>
    </rPh>
    <rPh sb="67" eb="69">
      <t>バアイ</t>
    </rPh>
    <rPh sb="71" eb="73">
      <t>ショトク</t>
    </rPh>
    <rPh sb="78" eb="80">
      <t>ニンズ</t>
    </rPh>
    <rPh sb="82" eb="84">
      <t>ジョガイ</t>
    </rPh>
    <phoneticPr fontId="1"/>
  </si>
  <si>
    <t>↓　所得がある人の人数</t>
    <rPh sb="2" eb="4">
      <t>ショトク</t>
    </rPh>
    <rPh sb="7" eb="8">
      <t>ヒト</t>
    </rPh>
    <rPh sb="9" eb="11">
      <t>ニンズウ</t>
    </rPh>
    <phoneticPr fontId="1"/>
  </si>
  <si>
    <t>所得合計
（前年中）</t>
    <rPh sb="0" eb="2">
      <t>ショトク</t>
    </rPh>
    <rPh sb="2" eb="4">
      <t>ゴウケイ</t>
    </rPh>
    <rPh sb="6" eb="9">
      <t>ゼンネンチュウ</t>
    </rPh>
    <phoneticPr fontId="1"/>
  </si>
  <si>
    <t>例）世帯主（60歳）のみ加入で、令和６年中の給与収入が400万円（給与所得276万円）でかつ、令和７年６月から令和８年３月まで加入した場合</t>
    <rPh sb="0" eb="1">
      <t>レイ</t>
    </rPh>
    <rPh sb="2" eb="5">
      <t>セタイヌシ</t>
    </rPh>
    <rPh sb="8" eb="9">
      <t>サイ</t>
    </rPh>
    <rPh sb="12" eb="14">
      <t>カニュウ</t>
    </rPh>
    <rPh sb="16" eb="18">
      <t>レイワ</t>
    </rPh>
    <rPh sb="19" eb="20">
      <t>ネン</t>
    </rPh>
    <rPh sb="20" eb="21">
      <t>チュウ</t>
    </rPh>
    <rPh sb="22" eb="24">
      <t>キュウヨ</t>
    </rPh>
    <rPh sb="24" eb="26">
      <t>シュウニュウ</t>
    </rPh>
    <rPh sb="30" eb="32">
      <t>マンエン</t>
    </rPh>
    <rPh sb="33" eb="35">
      <t>キュウヨ</t>
    </rPh>
    <rPh sb="35" eb="37">
      <t>ショトク</t>
    </rPh>
    <rPh sb="40" eb="42">
      <t>マンエン</t>
    </rPh>
    <rPh sb="47" eb="49">
      <t>レイワ</t>
    </rPh>
    <rPh sb="50" eb="51">
      <t>ネン</t>
    </rPh>
    <rPh sb="52" eb="53">
      <t>ガツ</t>
    </rPh>
    <rPh sb="55" eb="57">
      <t>レイワ</t>
    </rPh>
    <rPh sb="58" eb="59">
      <t>ネン</t>
    </rPh>
    <rPh sb="60" eb="61">
      <t>ガツ</t>
    </rPh>
    <rPh sb="63" eb="65">
      <t>カニュウ</t>
    </rPh>
    <rPh sb="67" eb="69">
      <t>バアイ</t>
    </rPh>
    <phoneticPr fontId="1"/>
  </si>
  <si>
    <t>エラー表示</t>
    <rPh sb="3" eb="5">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</si>
</sst>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7">
    <font>
      <sz val="11"/>
      <name val="ＭＳ Ｐゴシック"/>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1"/>
      <color indexed="62"/>
      <name val="ＭＳ Ｐゴシック"/>
      <family val="3"/>
      <charset val="128"/>
    </font>
    <font>
      <sz val="8"/>
      <name val="ＭＳ Ｐゴシック"/>
      <family val="3"/>
      <charset val="128"/>
    </font>
    <font>
      <sz val="8"/>
      <color indexed="45"/>
      <name val="ＭＳ Ｐゴシック"/>
      <family val="3"/>
      <charset val="128"/>
    </font>
    <font>
      <sz val="11"/>
      <color indexed="15"/>
      <name val="ＭＳ Ｐゴシック"/>
      <family val="3"/>
      <charset val="128"/>
    </font>
    <font>
      <sz val="11"/>
      <color indexed="44"/>
      <name val="ＭＳ Ｐゴシック"/>
      <family val="3"/>
      <charset val="128"/>
    </font>
    <font>
      <sz val="11"/>
      <color indexed="41"/>
      <name val="ＭＳ Ｐゴシック"/>
      <family val="3"/>
      <charset val="128"/>
    </font>
    <font>
      <b/>
      <sz val="11"/>
      <name val="ＭＳ Ｐゴシック"/>
      <family val="3"/>
      <charset val="128"/>
    </font>
    <font>
      <sz val="9"/>
      <color indexed="12"/>
      <name val="ＭＳ Ｐゴシック"/>
      <family val="3"/>
      <charset val="128"/>
    </font>
    <font>
      <sz val="11"/>
      <color indexed="12"/>
      <name val="ＭＳ Ｐゴシック"/>
      <family val="3"/>
      <charset val="128"/>
    </font>
    <font>
      <sz val="14"/>
      <name val="ＭＳ Ｐゴシック"/>
      <family val="3"/>
      <charset val="128"/>
    </font>
    <font>
      <sz val="10"/>
      <name val="ＭＳ Ｐゴシック"/>
      <family val="3"/>
      <charset val="128"/>
    </font>
    <font>
      <sz val="11"/>
      <color indexed="10"/>
      <name val="ＭＳ Ｐゴシック"/>
      <family val="3"/>
      <charset val="128"/>
    </font>
    <font>
      <sz val="11"/>
      <color indexed="40"/>
      <name val="ＭＳ Ｐゴシック"/>
      <family val="3"/>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u/>
      <sz val="11"/>
      <color theme="10"/>
      <name val="ＭＳ Ｐゴシック"/>
      <family val="3"/>
      <charset val="128"/>
    </font>
    <font>
      <b/>
      <sz val="9"/>
      <color indexed="81"/>
      <name val="MS P ゴシック"/>
      <family val="3"/>
      <charset val="128"/>
    </font>
    <font>
      <sz val="20"/>
      <name val="ＭＳ Ｐゴシック"/>
      <family val="3"/>
      <charset val="128"/>
    </font>
    <font>
      <b/>
      <sz val="14"/>
      <name val="ＭＳ Ｐゴシック"/>
      <family val="3"/>
      <charset val="128"/>
    </font>
    <font>
      <b/>
      <sz val="11"/>
      <color rgb="FFFF0000"/>
      <name val="ＭＳ Ｐゴシック"/>
      <family val="3"/>
      <charset val="128"/>
    </font>
    <font>
      <sz val="10.5"/>
      <name val="ＭＳ Ｐゴシック"/>
      <family val="3"/>
      <charset val="128"/>
    </font>
  </fonts>
  <fills count="1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rgb="FFFF00FF"/>
        <bgColor indexed="64"/>
      </patternFill>
    </fill>
    <fill>
      <patternFill patternType="solid">
        <fgColor theme="8" tint="0.59999389629810485"/>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38" fontId="2" fillId="0" borderId="0" applyFill="0" applyBorder="0" applyAlignment="0" applyProtection="0">
      <alignment vertical="center"/>
    </xf>
    <xf numFmtId="9" fontId="2" fillId="0" borderId="0" applyFill="0" applyBorder="0" applyAlignment="0" applyProtection="0">
      <alignment vertical="center"/>
    </xf>
    <xf numFmtId="0" fontId="21" fillId="0" borderId="0" applyNumberFormat="0" applyFill="0" applyBorder="0" applyAlignment="0" applyProtection="0">
      <alignment vertical="center"/>
    </xf>
  </cellStyleXfs>
  <cellXfs count="175">
    <xf numFmtId="0" fontId="0" fillId="0" borderId="0" xfId="0">
      <alignment vertical="center"/>
    </xf>
    <xf numFmtId="38" fontId="0" fillId="0" borderId="0" xfId="1" applyFont="1">
      <alignment vertical="center"/>
    </xf>
    <xf numFmtId="38" fontId="3" fillId="0" borderId="0" xfId="1" applyFont="1" applyFill="1" applyAlignment="1">
      <alignment horizontal="center" vertical="center" wrapText="1"/>
    </xf>
    <xf numFmtId="38" fontId="0" fillId="0" borderId="0" xfId="1" applyFont="1" applyAlignment="1">
      <alignment horizontal="center" vertical="center"/>
    </xf>
    <xf numFmtId="38" fontId="4" fillId="0" borderId="0" xfId="1" applyFont="1" applyAlignment="1">
      <alignment vertical="top"/>
    </xf>
    <xf numFmtId="38" fontId="0" fillId="2" borderId="1" xfId="1" applyFont="1" applyFill="1" applyBorder="1">
      <alignment vertical="center"/>
    </xf>
    <xf numFmtId="38" fontId="0" fillId="0" borderId="2" xfId="1" applyFont="1" applyFill="1" applyBorder="1">
      <alignment vertical="center"/>
    </xf>
    <xf numFmtId="38" fontId="0" fillId="0" borderId="3" xfId="1" applyFont="1" applyFill="1" applyBorder="1">
      <alignment vertical="center"/>
    </xf>
    <xf numFmtId="38" fontId="0" fillId="0" borderId="4" xfId="1" applyFont="1" applyFill="1" applyBorder="1">
      <alignment vertical="center"/>
    </xf>
    <xf numFmtId="38" fontId="0" fillId="0" borderId="5" xfId="1" applyFont="1" applyFill="1" applyBorder="1">
      <alignment vertical="center"/>
    </xf>
    <xf numFmtId="38" fontId="0" fillId="0" borderId="0" xfId="1" applyFont="1" applyFill="1" applyBorder="1">
      <alignment vertical="center"/>
    </xf>
    <xf numFmtId="38" fontId="0" fillId="0" borderId="6" xfId="1" applyFont="1" applyBorder="1">
      <alignment vertical="center"/>
    </xf>
    <xf numFmtId="38" fontId="3" fillId="0" borderId="3" xfId="1" applyFont="1" applyFill="1" applyBorder="1" applyAlignment="1">
      <alignment horizontal="center" vertical="center" wrapText="1"/>
    </xf>
    <xf numFmtId="38" fontId="0" fillId="3" borderId="4" xfId="1" applyFont="1" applyFill="1" applyBorder="1">
      <alignment vertical="center"/>
    </xf>
    <xf numFmtId="38" fontId="0" fillId="3" borderId="5" xfId="1" applyFont="1" applyFill="1" applyBorder="1">
      <alignment vertical="center"/>
    </xf>
    <xf numFmtId="38" fontId="5" fillId="4" borderId="0" xfId="1" applyFont="1" applyFill="1">
      <alignment vertical="center"/>
    </xf>
    <xf numFmtId="176" fontId="5" fillId="4" borderId="0" xfId="1" applyNumberFormat="1" applyFont="1" applyFill="1">
      <alignment vertical="center"/>
    </xf>
    <xf numFmtId="38" fontId="0" fillId="0" borderId="0" xfId="1" applyFont="1" applyAlignment="1">
      <alignment horizontal="center" vertical="center" shrinkToFit="1"/>
    </xf>
    <xf numFmtId="38" fontId="0" fillId="0" borderId="3" xfId="1" applyFont="1" applyBorder="1" applyAlignment="1">
      <alignment horizontal="center" vertical="center"/>
    </xf>
    <xf numFmtId="38" fontId="0" fillId="0" borderId="7" xfId="1" applyFont="1" applyBorder="1">
      <alignment vertical="center"/>
    </xf>
    <xf numFmtId="38" fontId="0" fillId="0" borderId="8" xfId="1" applyFont="1" applyBorder="1">
      <alignment vertical="center"/>
    </xf>
    <xf numFmtId="38" fontId="0" fillId="0" borderId="0" xfId="1" applyFont="1" applyAlignment="1">
      <alignment vertical="top"/>
    </xf>
    <xf numFmtId="38" fontId="6" fillId="0" borderId="0" xfId="1" applyFont="1">
      <alignment vertical="center"/>
    </xf>
    <xf numFmtId="38" fontId="7" fillId="0" borderId="0" xfId="1" applyFont="1" applyFill="1" applyBorder="1">
      <alignment vertical="center"/>
    </xf>
    <xf numFmtId="38" fontId="0" fillId="0" borderId="9" xfId="1" applyFont="1" applyBorder="1" applyAlignment="1">
      <alignment horizontal="center" vertical="center"/>
    </xf>
    <xf numFmtId="10" fontId="0" fillId="5" borderId="1" xfId="2" applyNumberFormat="1" applyFont="1" applyFill="1" applyBorder="1" applyProtection="1">
      <alignment vertical="center"/>
      <protection locked="0"/>
    </xf>
    <xf numFmtId="38" fontId="0" fillId="5" borderId="1" xfId="1" applyFont="1" applyFill="1" applyBorder="1" applyProtection="1">
      <alignment vertical="center"/>
      <protection locked="0"/>
    </xf>
    <xf numFmtId="38" fontId="0" fillId="5" borderId="10" xfId="1" applyFont="1" applyFill="1" applyBorder="1" applyProtection="1">
      <alignment vertical="center"/>
      <protection locked="0"/>
    </xf>
    <xf numFmtId="38" fontId="0" fillId="0" borderId="0" xfId="1" applyFont="1" applyFill="1" applyBorder="1" applyProtection="1">
      <alignment vertical="center"/>
      <protection locked="0"/>
    </xf>
    <xf numFmtId="0" fontId="0" fillId="0" borderId="6" xfId="0" applyBorder="1">
      <alignment vertical="center"/>
    </xf>
    <xf numFmtId="38" fontId="3" fillId="0" borderId="9" xfId="1" applyFont="1" applyFill="1" applyBorder="1" applyAlignment="1">
      <alignment horizontal="center" vertical="center" wrapText="1"/>
    </xf>
    <xf numFmtId="38" fontId="0" fillId="2" borderId="1" xfId="1" applyFont="1" applyFill="1" applyBorder="1" applyProtection="1">
      <alignment vertical="center"/>
      <protection locked="0"/>
    </xf>
    <xf numFmtId="38" fontId="0" fillId="2" borderId="10" xfId="1" applyFont="1" applyFill="1" applyBorder="1" applyProtection="1">
      <alignment vertical="center"/>
      <protection locked="0"/>
    </xf>
    <xf numFmtId="38" fontId="0" fillId="2" borderId="11" xfId="1" applyFont="1" applyFill="1" applyBorder="1" applyProtection="1">
      <alignment vertical="center"/>
      <protection locked="0"/>
    </xf>
    <xf numFmtId="38" fontId="8" fillId="0" borderId="0" xfId="1" applyFont="1">
      <alignment vertical="center"/>
    </xf>
    <xf numFmtId="38" fontId="6" fillId="0" borderId="9" xfId="1" applyFont="1" applyBorder="1" applyAlignment="1">
      <alignment vertical="center" wrapText="1"/>
    </xf>
    <xf numFmtId="38" fontId="0" fillId="0" borderId="1" xfId="1" applyNumberFormat="1" applyFont="1" applyBorder="1">
      <alignment vertical="center"/>
    </xf>
    <xf numFmtId="38" fontId="0" fillId="5" borderId="1" xfId="1" applyFont="1" applyFill="1" applyBorder="1">
      <alignment vertical="center"/>
    </xf>
    <xf numFmtId="38" fontId="7" fillId="0" borderId="2" xfId="1" applyFont="1" applyFill="1" applyBorder="1">
      <alignment vertical="center"/>
    </xf>
    <xf numFmtId="38" fontId="0" fillId="0" borderId="1" xfId="1" applyFont="1" applyFill="1" applyBorder="1" applyProtection="1">
      <alignment vertical="center"/>
      <protection locked="0"/>
    </xf>
    <xf numFmtId="38" fontId="0" fillId="0" borderId="12" xfId="1" applyFont="1" applyBorder="1">
      <alignment vertical="center"/>
    </xf>
    <xf numFmtId="38" fontId="9" fillId="0" borderId="0" xfId="1" applyFont="1">
      <alignment vertical="center"/>
    </xf>
    <xf numFmtId="176" fontId="10" fillId="0" borderId="0" xfId="1" applyNumberFormat="1" applyFont="1">
      <alignment vertical="center"/>
    </xf>
    <xf numFmtId="38" fontId="0" fillId="0" borderId="9" xfId="1" applyFont="1" applyBorder="1">
      <alignment vertical="center"/>
    </xf>
    <xf numFmtId="38" fontId="7" fillId="0" borderId="0" xfId="1" applyFont="1">
      <alignment vertical="center"/>
    </xf>
    <xf numFmtId="38" fontId="0" fillId="0" borderId="14" xfId="1" applyFont="1" applyBorder="1" applyAlignment="1">
      <alignment horizontal="center" vertical="center"/>
    </xf>
    <xf numFmtId="10" fontId="0" fillId="5" borderId="15" xfId="2" applyNumberFormat="1" applyFont="1" applyFill="1" applyBorder="1" applyProtection="1">
      <alignment vertical="center"/>
      <protection locked="0"/>
    </xf>
    <xf numFmtId="38" fontId="0" fillId="5" borderId="15" xfId="1" applyFont="1" applyFill="1" applyBorder="1" applyProtection="1">
      <alignment vertical="center"/>
      <protection locked="0"/>
    </xf>
    <xf numFmtId="38" fontId="0" fillId="0" borderId="15" xfId="1" applyFont="1" applyFill="1" applyBorder="1" applyProtection="1">
      <alignment vertical="center"/>
      <protection locked="0"/>
    </xf>
    <xf numFmtId="38" fontId="0" fillId="5" borderId="16" xfId="1" applyFont="1" applyFill="1" applyBorder="1" applyProtection="1">
      <alignment vertical="center"/>
      <protection locked="0"/>
    </xf>
    <xf numFmtId="38" fontId="11" fillId="0" borderId="0" xfId="1" applyFont="1" applyFill="1" applyBorder="1">
      <alignment vertical="center"/>
    </xf>
    <xf numFmtId="10" fontId="0" fillId="0" borderId="0" xfId="2" applyNumberFormat="1" applyFont="1">
      <alignment vertical="center"/>
    </xf>
    <xf numFmtId="0" fontId="0" fillId="0" borderId="0" xfId="0">
      <alignment vertical="center"/>
    </xf>
    <xf numFmtId="38" fontId="12" fillId="0" borderId="9" xfId="1" applyFont="1" applyFill="1" applyBorder="1" applyAlignment="1">
      <alignment horizontal="center" vertical="center" wrapText="1"/>
    </xf>
    <xf numFmtId="38" fontId="0" fillId="0" borderId="10" xfId="1" applyFont="1" applyBorder="1">
      <alignment vertical="center"/>
    </xf>
    <xf numFmtId="0" fontId="13" fillId="0" borderId="0" xfId="0" applyFont="1">
      <alignment vertical="center"/>
    </xf>
    <xf numFmtId="0" fontId="0" fillId="0" borderId="1" xfId="0" applyBorder="1">
      <alignment vertical="center"/>
    </xf>
    <xf numFmtId="0" fontId="0" fillId="0" borderId="1" xfId="0" applyBorder="1" applyAlignment="1">
      <alignment vertical="center" shrinkToFit="1"/>
    </xf>
    <xf numFmtId="38" fontId="0" fillId="0" borderId="17" xfId="1" applyFont="1" applyBorder="1">
      <alignment vertical="center"/>
    </xf>
    <xf numFmtId="38" fontId="0" fillId="7" borderId="18" xfId="1" applyFont="1" applyFill="1" applyBorder="1">
      <alignment vertical="center"/>
    </xf>
    <xf numFmtId="38" fontId="13" fillId="0" borderId="0" xfId="1" applyFont="1">
      <alignment vertical="center"/>
    </xf>
    <xf numFmtId="38" fontId="0" fillId="0" borderId="1" xfId="1" applyFont="1" applyBorder="1" applyAlignment="1">
      <alignment horizontal="center" vertical="center"/>
    </xf>
    <xf numFmtId="38" fontId="0" fillId="0" borderId="19" xfId="1" applyFont="1" applyBorder="1">
      <alignment vertical="center"/>
    </xf>
    <xf numFmtId="38" fontId="0" fillId="0" borderId="0" xfId="1" applyFont="1" applyFill="1" applyProtection="1">
      <alignment vertical="center"/>
      <protection locked="0"/>
    </xf>
    <xf numFmtId="38" fontId="11" fillId="3" borderId="21" xfId="1" applyFont="1" applyFill="1" applyBorder="1">
      <alignment vertical="center"/>
    </xf>
    <xf numFmtId="38" fontId="3" fillId="0" borderId="0" xfId="1" applyFont="1" applyBorder="1">
      <alignment vertical="center"/>
    </xf>
    <xf numFmtId="0" fontId="3" fillId="0" borderId="0" xfId="0" applyFont="1">
      <alignment vertical="center"/>
    </xf>
    <xf numFmtId="0" fontId="0" fillId="0" borderId="7" xfId="0" applyBorder="1">
      <alignment vertical="center"/>
    </xf>
    <xf numFmtId="38" fontId="0" fillId="0" borderId="15" xfId="1" applyFont="1" applyBorder="1">
      <alignment vertical="center"/>
    </xf>
    <xf numFmtId="38" fontId="0" fillId="0" borderId="22" xfId="1" applyFont="1" applyBorder="1">
      <alignment vertical="center"/>
    </xf>
    <xf numFmtId="38" fontId="0" fillId="0" borderId="23" xfId="1" applyFont="1" applyBorder="1">
      <alignment vertical="center"/>
    </xf>
    <xf numFmtId="38" fontId="15" fillId="0" borderId="0" xfId="1" applyFont="1" applyAlignment="1">
      <alignment horizontal="left" vertical="center"/>
    </xf>
    <xf numFmtId="38" fontId="15" fillId="0" borderId="0" xfId="1" applyFont="1">
      <alignment vertical="center"/>
    </xf>
    <xf numFmtId="38" fontId="3" fillId="0" borderId="14" xfId="1" applyFont="1" applyFill="1" applyBorder="1" applyAlignment="1">
      <alignment horizontal="center" vertical="center" wrapText="1"/>
    </xf>
    <xf numFmtId="38" fontId="0" fillId="0" borderId="16" xfId="1" applyFont="1" applyBorder="1">
      <alignment vertical="center"/>
    </xf>
    <xf numFmtId="38" fontId="16" fillId="0" borderId="0" xfId="1" applyFont="1">
      <alignment vertical="center"/>
    </xf>
    <xf numFmtId="38" fontId="0" fillId="0" borderId="14" xfId="1" applyFont="1" applyBorder="1">
      <alignment vertical="center"/>
    </xf>
    <xf numFmtId="38" fontId="17" fillId="0" borderId="0" xfId="1" applyFont="1">
      <alignment vertical="center"/>
    </xf>
    <xf numFmtId="38" fontId="17" fillId="8" borderId="0" xfId="1" applyFont="1" applyFill="1">
      <alignment vertical="center"/>
    </xf>
    <xf numFmtId="0" fontId="17" fillId="0" borderId="0" xfId="0" applyFont="1">
      <alignment vertical="center"/>
    </xf>
    <xf numFmtId="0" fontId="4" fillId="0" borderId="0" xfId="0" applyFont="1">
      <alignment vertical="center"/>
    </xf>
    <xf numFmtId="38" fontId="0" fillId="0" borderId="24" xfId="1" applyFont="1" applyFill="1" applyBorder="1">
      <alignment vertical="center"/>
    </xf>
    <xf numFmtId="38" fontId="6" fillId="0" borderId="0" xfId="1" applyFont="1" applyFill="1" applyBorder="1" applyAlignment="1">
      <alignment horizontal="left" vertical="center"/>
    </xf>
    <xf numFmtId="38" fontId="0" fillId="0" borderId="0" xfId="1" applyFont="1" applyFill="1" applyBorder="1" applyAlignment="1">
      <alignment horizontal="center" vertical="center"/>
    </xf>
    <xf numFmtId="38" fontId="3" fillId="0" borderId="0" xfId="1" applyFont="1" applyFill="1" applyBorder="1" applyAlignment="1">
      <alignment horizontal="left" vertical="center"/>
    </xf>
    <xf numFmtId="38" fontId="14" fillId="7" borderId="20" xfId="1" applyFont="1" applyFill="1" applyBorder="1" applyAlignment="1">
      <alignment vertical="center" shrinkToFit="1"/>
    </xf>
    <xf numFmtId="38" fontId="15" fillId="0" borderId="0" xfId="1" applyFont="1" applyAlignment="1">
      <alignment horizontal="center" vertical="center" wrapText="1" shrinkToFit="1"/>
    </xf>
    <xf numFmtId="38" fontId="2" fillId="0" borderId="0" xfId="1" applyFont="1">
      <alignment vertical="center"/>
    </xf>
    <xf numFmtId="3" fontId="2" fillId="2" borderId="1" xfId="3" applyNumberFormat="1" applyFont="1" applyFill="1" applyBorder="1" applyProtection="1">
      <alignment vertical="center"/>
      <protection locked="0"/>
    </xf>
    <xf numFmtId="3" fontId="0" fillId="2" borderId="1" xfId="1" applyNumberFormat="1" applyFont="1" applyFill="1" applyBorder="1" applyProtection="1">
      <alignment vertical="center"/>
      <protection locked="0"/>
    </xf>
    <xf numFmtId="3" fontId="0" fillId="2" borderId="10" xfId="1" applyNumberFormat="1" applyFont="1" applyFill="1" applyBorder="1" applyProtection="1">
      <alignment vertical="center"/>
      <protection locked="0"/>
    </xf>
    <xf numFmtId="38" fontId="3" fillId="6" borderId="0" xfId="1" applyFont="1" applyFill="1" applyAlignment="1">
      <alignment vertical="center" shrinkToFit="1"/>
    </xf>
    <xf numFmtId="38" fontId="0" fillId="0" borderId="0" xfId="1" applyFont="1" applyBorder="1">
      <alignment vertical="center"/>
    </xf>
    <xf numFmtId="38" fontId="2" fillId="0" borderId="0" xfId="1" applyFont="1" applyBorder="1" applyAlignment="1">
      <alignment vertical="center" wrapText="1"/>
    </xf>
    <xf numFmtId="38" fontId="2" fillId="0" borderId="0" xfId="1" applyFont="1" applyBorder="1">
      <alignment vertical="center"/>
    </xf>
    <xf numFmtId="38" fontId="0" fillId="9" borderId="1" xfId="1" applyNumberFormat="1" applyFont="1" applyFill="1" applyBorder="1">
      <alignment vertical="center"/>
    </xf>
    <xf numFmtId="38" fontId="0" fillId="9" borderId="0" xfId="1" applyFont="1" applyFill="1">
      <alignment vertical="center"/>
    </xf>
    <xf numFmtId="38" fontId="0" fillId="10" borderId="0" xfId="1" applyFont="1" applyFill="1">
      <alignment vertical="center"/>
    </xf>
    <xf numFmtId="38" fontId="0" fillId="10" borderId="1" xfId="1" applyNumberFormat="1" applyFont="1" applyFill="1" applyBorder="1">
      <alignment vertical="center"/>
    </xf>
    <xf numFmtId="38" fontId="0" fillId="11" borderId="1" xfId="1" applyNumberFormat="1" applyFont="1" applyFill="1" applyBorder="1">
      <alignment vertical="center"/>
    </xf>
    <xf numFmtId="38" fontId="0" fillId="11" borderId="0" xfId="1" applyFont="1" applyFill="1">
      <alignment vertical="center"/>
    </xf>
    <xf numFmtId="38" fontId="0" fillId="12" borderId="1" xfId="1" applyNumberFormat="1" applyFont="1" applyFill="1" applyBorder="1">
      <alignment vertical="center"/>
    </xf>
    <xf numFmtId="38" fontId="0" fillId="12" borderId="0" xfId="1" applyFont="1" applyFill="1">
      <alignment vertical="center"/>
    </xf>
    <xf numFmtId="38" fontId="0" fillId="13" borderId="1" xfId="1" applyNumberFormat="1" applyFont="1" applyFill="1" applyBorder="1">
      <alignment vertical="center"/>
    </xf>
    <xf numFmtId="38" fontId="0" fillId="13" borderId="0" xfId="1" applyFont="1" applyFill="1">
      <alignment vertical="center"/>
    </xf>
    <xf numFmtId="38" fontId="2" fillId="0" borderId="0" xfId="1" applyFont="1" applyAlignment="1">
      <alignment horizontal="center" vertical="center"/>
    </xf>
    <xf numFmtId="38" fontId="11" fillId="0" borderId="0" xfId="1" applyFont="1">
      <alignment vertical="center"/>
    </xf>
    <xf numFmtId="38" fontId="0" fillId="14" borderId="0" xfId="1" applyFont="1" applyFill="1">
      <alignment vertical="center"/>
    </xf>
    <xf numFmtId="38" fontId="0" fillId="0" borderId="13" xfId="1" applyFont="1" applyBorder="1">
      <alignment vertical="center"/>
    </xf>
    <xf numFmtId="38" fontId="2" fillId="0" borderId="26" xfId="1" applyFont="1" applyBorder="1">
      <alignment vertical="center"/>
    </xf>
    <xf numFmtId="38" fontId="2" fillId="0" borderId="25" xfId="1" applyFont="1" applyBorder="1">
      <alignment vertical="center"/>
    </xf>
    <xf numFmtId="38" fontId="0" fillId="14" borderId="0" xfId="1" applyNumberFormat="1" applyFont="1" applyFill="1" applyBorder="1">
      <alignment vertical="center"/>
    </xf>
    <xf numFmtId="38" fontId="0" fillId="14" borderId="0" xfId="1" applyFont="1" applyFill="1" applyBorder="1">
      <alignment vertical="center"/>
    </xf>
    <xf numFmtId="38" fontId="2" fillId="0" borderId="7" xfId="1" applyFont="1" applyBorder="1">
      <alignment vertical="center"/>
    </xf>
    <xf numFmtId="38" fontId="11" fillId="0" borderId="0" xfId="1" applyFont="1" applyBorder="1">
      <alignment vertical="center"/>
    </xf>
    <xf numFmtId="38" fontId="0" fillId="9" borderId="0" xfId="1" applyFont="1" applyFill="1" applyBorder="1">
      <alignment vertical="center"/>
    </xf>
    <xf numFmtId="38" fontId="2" fillId="0" borderId="8" xfId="1" applyFont="1" applyBorder="1">
      <alignment vertical="center"/>
    </xf>
    <xf numFmtId="38" fontId="11" fillId="14" borderId="23" xfId="1" applyFont="1" applyFill="1" applyBorder="1">
      <alignment vertical="center"/>
    </xf>
    <xf numFmtId="0" fontId="0" fillId="0" borderId="0" xfId="0" applyBorder="1">
      <alignment vertical="center"/>
    </xf>
    <xf numFmtId="38" fontId="2" fillId="0" borderId="0" xfId="1" applyFont="1" applyFill="1" applyBorder="1">
      <alignment vertical="center"/>
    </xf>
    <xf numFmtId="38" fontId="0" fillId="9" borderId="0" xfId="0" applyNumberFormat="1" applyFill="1" applyBorder="1">
      <alignment vertical="center"/>
    </xf>
    <xf numFmtId="38" fontId="11" fillId="0" borderId="0" xfId="0" applyNumberFormat="1" applyFont="1" applyBorder="1">
      <alignment vertical="center"/>
    </xf>
    <xf numFmtId="38" fontId="0" fillId="0" borderId="22" xfId="0" applyNumberFormat="1" applyBorder="1">
      <alignment vertical="center"/>
    </xf>
    <xf numFmtId="0" fontId="0" fillId="0" borderId="8" xfId="0" applyBorder="1">
      <alignment vertical="center"/>
    </xf>
    <xf numFmtId="38" fontId="11" fillId="0" borderId="25" xfId="1" applyFont="1" applyBorder="1">
      <alignment vertical="center"/>
    </xf>
    <xf numFmtId="1" fontId="0" fillId="0" borderId="22" xfId="0" applyNumberFormat="1" applyBorder="1">
      <alignment vertical="center"/>
    </xf>
    <xf numFmtId="38" fontId="14" fillId="0" borderId="0" xfId="1" applyFont="1" applyBorder="1" applyAlignment="1">
      <alignment vertical="center"/>
    </xf>
    <xf numFmtId="38" fontId="14" fillId="0" borderId="6" xfId="1" applyFont="1" applyBorder="1" applyAlignment="1">
      <alignment vertical="center"/>
    </xf>
    <xf numFmtId="38" fontId="2" fillId="0" borderId="26" xfId="1" applyFont="1" applyBorder="1" applyAlignment="1">
      <alignment vertical="center" wrapText="1"/>
    </xf>
    <xf numFmtId="0" fontId="2" fillId="0" borderId="6" xfId="0" applyFont="1" applyBorder="1">
      <alignment vertical="center"/>
    </xf>
    <xf numFmtId="38" fontId="0" fillId="15" borderId="0" xfId="1" applyFont="1" applyFill="1">
      <alignment vertical="center"/>
    </xf>
    <xf numFmtId="38" fontId="11" fillId="14" borderId="0" xfId="1" applyFont="1" applyFill="1">
      <alignment vertical="center"/>
    </xf>
    <xf numFmtId="38" fontId="0" fillId="0" borderId="0" xfId="1" applyFont="1" applyFill="1">
      <alignment vertical="center"/>
    </xf>
    <xf numFmtId="0" fontId="2" fillId="0" borderId="1" xfId="0" applyFont="1" applyBorder="1" applyAlignment="1">
      <alignment vertical="center" wrapText="1"/>
    </xf>
    <xf numFmtId="38" fontId="2" fillId="0" borderId="0" xfId="1" applyBorder="1" applyAlignment="1">
      <alignment vertical="center"/>
    </xf>
    <xf numFmtId="38" fontId="3" fillId="0" borderId="1" xfId="1" applyFont="1" applyFill="1" applyBorder="1" applyAlignment="1">
      <alignment vertical="center" wrapText="1"/>
    </xf>
    <xf numFmtId="38" fontId="3" fillId="0" borderId="0" xfId="1" applyFont="1" applyFill="1" applyBorder="1" applyAlignment="1">
      <alignment vertical="center" wrapText="1"/>
    </xf>
    <xf numFmtId="38" fontId="3" fillId="0" borderId="1" xfId="1" applyFont="1" applyFill="1" applyBorder="1" applyAlignment="1">
      <alignment horizontal="left" vertical="center" wrapText="1"/>
    </xf>
    <xf numFmtId="0" fontId="25" fillId="0" borderId="0" xfId="0" applyFont="1">
      <alignment vertical="center"/>
    </xf>
    <xf numFmtId="0" fontId="14" fillId="0" borderId="1" xfId="0" applyFont="1" applyBorder="1" applyAlignment="1">
      <alignment horizontal="center" vertical="center"/>
    </xf>
    <xf numFmtId="0" fontId="14" fillId="0" borderId="0" xfId="0" applyFont="1">
      <alignment vertical="center"/>
    </xf>
    <xf numFmtId="38" fontId="2" fillId="0" borderId="1" xfId="1" applyFont="1" applyFill="1" applyBorder="1" applyAlignment="1">
      <alignment horizontal="center" vertical="center" wrapText="1"/>
    </xf>
    <xf numFmtId="38" fontId="15" fillId="0" borderId="1" xfId="1" applyFont="1" applyFill="1" applyBorder="1" applyAlignment="1">
      <alignment horizontal="left" vertical="center" wrapText="1"/>
    </xf>
    <xf numFmtId="0" fontId="2" fillId="0" borderId="28" xfId="0" applyFont="1" applyBorder="1" applyAlignment="1">
      <alignment horizontal="center" vertical="center"/>
    </xf>
    <xf numFmtId="0" fontId="0" fillId="0" borderId="28" xfId="0" applyBorder="1" applyAlignment="1">
      <alignment horizontal="center" vertical="center"/>
    </xf>
    <xf numFmtId="0" fontId="2" fillId="0" borderId="1" xfId="0" applyFont="1" applyBorder="1" applyAlignment="1">
      <alignment horizontal="center" vertical="center" wrapText="1"/>
    </xf>
    <xf numFmtId="38" fontId="0" fillId="0" borderId="1" xfId="0" applyNumberFormat="1" applyBorder="1" applyAlignment="1">
      <alignment horizontal="center" vertical="center"/>
    </xf>
    <xf numFmtId="0" fontId="0" fillId="0" borderId="1" xfId="0" applyBorder="1" applyAlignment="1">
      <alignment horizontal="center" vertical="center"/>
    </xf>
    <xf numFmtId="38" fontId="2" fillId="0" borderId="1" xfId="1" applyBorder="1" applyAlignment="1">
      <alignment horizontal="center" vertical="center" wrapText="1"/>
    </xf>
    <xf numFmtId="38" fontId="0" fillId="0" borderId="17" xfId="1" applyFont="1" applyFill="1" applyBorder="1" applyAlignment="1">
      <alignment horizontal="center" vertical="center"/>
    </xf>
    <xf numFmtId="38" fontId="0" fillId="0" borderId="30" xfId="1" applyFont="1" applyFill="1" applyBorder="1" applyAlignment="1">
      <alignment horizontal="center" vertical="center"/>
    </xf>
    <xf numFmtId="38" fontId="2" fillId="0" borderId="0" xfId="1" applyBorder="1" applyAlignment="1">
      <alignment horizontal="center" vertical="center"/>
    </xf>
    <xf numFmtId="38"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3" fillId="0" borderId="28" xfId="0" applyFont="1" applyBorder="1" applyAlignment="1">
      <alignment horizontal="center" vertical="center"/>
    </xf>
    <xf numFmtId="38" fontId="2" fillId="0" borderId="1" xfId="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4" fillId="0" borderId="1" xfId="0" applyFont="1" applyBorder="1" applyAlignment="1">
      <alignment horizontal="center" vertical="center"/>
    </xf>
    <xf numFmtId="0" fontId="14" fillId="0" borderId="17" xfId="0" applyFont="1" applyBorder="1" applyAlignment="1">
      <alignment horizontal="center" vertical="center"/>
    </xf>
    <xf numFmtId="0" fontId="23" fillId="0" borderId="27" xfId="0" applyFont="1" applyBorder="1" applyAlignment="1">
      <alignment horizontal="center" vertical="center"/>
    </xf>
    <xf numFmtId="0" fontId="23" fillId="0" borderId="0" xfId="0" applyFont="1" applyBorder="1" applyAlignment="1">
      <alignment horizontal="center" vertical="center"/>
    </xf>
    <xf numFmtId="38" fontId="26" fillId="0" borderId="0" xfId="1" applyFont="1" applyBorder="1" applyAlignment="1">
      <alignment horizontal="left" vertical="center" wrapText="1"/>
    </xf>
    <xf numFmtId="38" fontId="2" fillId="0" borderId="29" xfId="1" applyBorder="1" applyAlignment="1" applyProtection="1">
      <alignment horizontal="center" vertical="center"/>
      <protection locked="0"/>
    </xf>
    <xf numFmtId="38" fontId="2" fillId="0" borderId="11" xfId="1" applyBorder="1" applyAlignment="1" applyProtection="1">
      <alignment horizontal="center" vertical="center"/>
      <protection locked="0"/>
    </xf>
    <xf numFmtId="38" fontId="0" fillId="0" borderId="1" xfId="1" applyFont="1" applyFill="1" applyBorder="1" applyAlignment="1">
      <alignment horizontal="center" vertical="center"/>
    </xf>
    <xf numFmtId="38" fontId="0" fillId="0" borderId="1" xfId="0" applyNumberFormat="1" applyBorder="1" applyAlignment="1" applyProtection="1">
      <alignment horizontal="center" vertical="center"/>
      <protection locked="0"/>
    </xf>
    <xf numFmtId="38" fontId="0" fillId="0" borderId="17" xfId="0" applyNumberFormat="1" applyBorder="1" applyAlignment="1" applyProtection="1">
      <alignment horizontal="center" vertical="center"/>
      <protection locked="0"/>
    </xf>
    <xf numFmtId="38" fontId="0" fillId="0" borderId="30" xfId="0" applyNumberFormat="1" applyBorder="1" applyAlignment="1" applyProtection="1">
      <alignment horizontal="center" vertical="center"/>
      <protection locked="0"/>
    </xf>
    <xf numFmtId="38" fontId="2" fillId="0" borderId="1" xfId="1" applyFont="1" applyFill="1" applyBorder="1" applyAlignment="1">
      <alignment horizontal="center" vertical="center"/>
    </xf>
    <xf numFmtId="38" fontId="0" fillId="6" borderId="13" xfId="1" applyFont="1" applyFill="1" applyBorder="1" applyAlignment="1" applyProtection="1">
      <alignment horizontal="center" vertical="center"/>
      <protection locked="0"/>
    </xf>
    <xf numFmtId="38" fontId="0" fillId="6" borderId="25" xfId="1" applyFont="1" applyFill="1" applyBorder="1" applyAlignment="1" applyProtection="1">
      <alignment horizontal="center" vertical="center"/>
      <protection locked="0"/>
    </xf>
    <xf numFmtId="38" fontId="16" fillId="0" borderId="1" xfId="1" applyFont="1" applyBorder="1">
      <alignment vertical="center"/>
    </xf>
    <xf numFmtId="38" fontId="3" fillId="0" borderId="31" xfId="1" applyFont="1" applyFill="1" applyBorder="1" applyAlignment="1">
      <alignment horizontal="center" vertical="center" wrapText="1"/>
    </xf>
    <xf numFmtId="38" fontId="0" fillId="0" borderId="26" xfId="1" applyFont="1" applyBorder="1">
      <alignment vertical="center"/>
    </xf>
    <xf numFmtId="38" fontId="3" fillId="0" borderId="1" xfId="1" applyFont="1" applyFill="1" applyBorder="1" applyAlignment="1">
      <alignment horizontal="center" vertical="center" wrapText="1"/>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FF00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10401</xdr:colOff>
      <xdr:row>4</xdr:row>
      <xdr:rowOff>11207</xdr:rowOff>
    </xdr:from>
    <xdr:to>
      <xdr:col>5</xdr:col>
      <xdr:colOff>224118</xdr:colOff>
      <xdr:row>9</xdr:row>
      <xdr:rowOff>112062</xdr:rowOff>
    </xdr:to>
    <xdr:sp macro="" textlink="">
      <xdr:nvSpPr>
        <xdr:cNvPr id="2" name="吹き出し: 角を丸めた四角形 1">
          <a:extLst>
            <a:ext uri="{FF2B5EF4-FFF2-40B4-BE49-F238E27FC236}">
              <a16:creationId xmlns:a16="http://schemas.microsoft.com/office/drawing/2014/main" id="{632E2ADD-6063-4814-9014-C69BF852DE4B}"/>
            </a:ext>
          </a:extLst>
        </xdr:cNvPr>
        <xdr:cNvSpPr/>
      </xdr:nvSpPr>
      <xdr:spPr>
        <a:xfrm>
          <a:off x="1568019" y="515472"/>
          <a:ext cx="2611775" cy="941296"/>
        </a:xfrm>
        <a:prstGeom prst="wedgeRoundRectCallout">
          <a:avLst>
            <a:gd name="adj1" fmla="val -63780"/>
            <a:gd name="adj2" fmla="val 40173"/>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世帯主が国民健康保険に加入しない場合は０と入力してください。加入月数は年度毎に考えるため、</a:t>
          </a:r>
          <a:r>
            <a:rPr kumimoji="1" lang="en-US" altLang="ja-JP" sz="1100">
              <a:solidFill>
                <a:schemeClr val="tx1"/>
              </a:solidFill>
            </a:rPr>
            <a:t>4</a:t>
          </a:r>
          <a:r>
            <a:rPr kumimoji="1" lang="ja-JP" altLang="en-US" sz="1100">
              <a:solidFill>
                <a:schemeClr val="tx1"/>
              </a:solidFill>
            </a:rPr>
            <a:t>月から翌年の</a:t>
          </a:r>
          <a:r>
            <a:rPr kumimoji="1" lang="en-US" altLang="ja-JP" sz="1100">
              <a:solidFill>
                <a:schemeClr val="tx1"/>
              </a:solidFill>
            </a:rPr>
            <a:t>3</a:t>
          </a:r>
          <a:r>
            <a:rPr kumimoji="1" lang="ja-JP" altLang="en-US" sz="1100">
              <a:solidFill>
                <a:schemeClr val="tx1"/>
              </a:solidFill>
            </a:rPr>
            <a:t>月の中での加入月数となります。</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9</xdr:col>
      <xdr:colOff>190500</xdr:colOff>
      <xdr:row>1</xdr:row>
      <xdr:rowOff>27214</xdr:rowOff>
    </xdr:from>
    <xdr:to>
      <xdr:col>14</xdr:col>
      <xdr:colOff>40820</xdr:colOff>
      <xdr:row>9</xdr:row>
      <xdr:rowOff>122464</xdr:rowOff>
    </xdr:to>
    <xdr:sp macro="" textlink="">
      <xdr:nvSpPr>
        <xdr:cNvPr id="4" name="吹き出し: 角を丸めた四角形 3">
          <a:extLst>
            <a:ext uri="{FF2B5EF4-FFF2-40B4-BE49-F238E27FC236}">
              <a16:creationId xmlns:a16="http://schemas.microsoft.com/office/drawing/2014/main" id="{594CAE51-8241-45FA-A99A-B68D62D22D75}"/>
            </a:ext>
          </a:extLst>
        </xdr:cNvPr>
        <xdr:cNvSpPr/>
      </xdr:nvSpPr>
      <xdr:spPr>
        <a:xfrm>
          <a:off x="7497536" y="204107"/>
          <a:ext cx="4803320" cy="1510393"/>
        </a:xfrm>
        <a:prstGeom prst="wedgeRoundRectCallout">
          <a:avLst>
            <a:gd name="adj1" fmla="val -74065"/>
            <a:gd name="adj2" fmla="val 48470"/>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給与所得の場合は、給与収入から給与所得控除を引いた後の金額、公的年金収入の場合は、公的年金等控除額を引いた後の金額を入力してください（扶養控除等の所得控除や繰越損失の控除額を差し引く前の金額となります）</a:t>
          </a:r>
          <a:r>
            <a:rPr kumimoji="1" lang="ja-JP" altLang="en-US" sz="1100">
              <a:solidFill>
                <a:schemeClr val="tx1"/>
              </a:solidFill>
            </a:rPr>
            <a:t>。</a:t>
          </a:r>
          <a:r>
            <a:rPr kumimoji="1" lang="ja-JP" altLang="en-US" sz="1200">
              <a:solidFill>
                <a:schemeClr val="tx1"/>
              </a:solidFill>
            </a:rPr>
            <a:t>その他の収入がある場合は、収入から必要経費を引いた額を入力してください。</a:t>
          </a:r>
          <a:endParaRPr kumimoji="1" lang="en-US" altLang="ja-JP" sz="1200">
            <a:solidFill>
              <a:schemeClr val="tx1"/>
            </a:solidFill>
          </a:endParaRPr>
        </a:p>
        <a:p>
          <a:pPr algn="l"/>
          <a:endParaRPr kumimoji="1" lang="en-US" altLang="ja-JP" sz="12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16</xdr:col>
      <xdr:colOff>324969</xdr:colOff>
      <xdr:row>1</xdr:row>
      <xdr:rowOff>89647</xdr:rowOff>
    </xdr:from>
    <xdr:to>
      <xdr:col>19</xdr:col>
      <xdr:colOff>567497</xdr:colOff>
      <xdr:row>11</xdr:row>
      <xdr:rowOff>136072</xdr:rowOff>
    </xdr:to>
    <xdr:sp macro="" textlink="">
      <xdr:nvSpPr>
        <xdr:cNvPr id="6" name="吹き出し: 角を丸めた四角形 5">
          <a:extLst>
            <a:ext uri="{FF2B5EF4-FFF2-40B4-BE49-F238E27FC236}">
              <a16:creationId xmlns:a16="http://schemas.microsoft.com/office/drawing/2014/main" id="{57F0406A-8CE5-4FBF-8849-0B690AE9B7B0}"/>
            </a:ext>
          </a:extLst>
        </xdr:cNvPr>
        <xdr:cNvSpPr/>
      </xdr:nvSpPr>
      <xdr:spPr>
        <a:xfrm>
          <a:off x="13945719" y="266540"/>
          <a:ext cx="2283599" cy="1815353"/>
        </a:xfrm>
        <a:prstGeom prst="wedgeRoundRectCallout">
          <a:avLst>
            <a:gd name="adj1" fmla="val -61337"/>
            <a:gd name="adj2" fmla="val 48502"/>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50">
              <a:solidFill>
                <a:schemeClr val="tx1"/>
              </a:solidFill>
            </a:rPr>
            <a:t>これらの金額の他に世帯平等割額の</a:t>
          </a:r>
          <a:r>
            <a:rPr kumimoji="1" lang="en-US" altLang="ja-JP" sz="1150">
              <a:solidFill>
                <a:schemeClr val="tx1"/>
              </a:solidFill>
            </a:rPr>
            <a:t>16,400</a:t>
          </a:r>
          <a:r>
            <a:rPr kumimoji="1" lang="ja-JP" altLang="en-US" sz="1150">
              <a:solidFill>
                <a:schemeClr val="tx1"/>
              </a:solidFill>
            </a:rPr>
            <a:t>円（１２か月加入で軽減判定なしの場合）が発生します。１０か月加入の場合は</a:t>
          </a:r>
          <a:r>
            <a:rPr kumimoji="1" lang="en-US" altLang="ja-JP" sz="1150">
              <a:solidFill>
                <a:schemeClr val="tx1"/>
              </a:solidFill>
            </a:rPr>
            <a:t>16,400</a:t>
          </a:r>
          <a:r>
            <a:rPr kumimoji="1" lang="ja-JP" altLang="en-US" sz="1150">
              <a:solidFill>
                <a:schemeClr val="tx1"/>
              </a:solidFill>
            </a:rPr>
            <a:t>円</a:t>
          </a:r>
          <a:r>
            <a:rPr kumimoji="1" lang="en-US" altLang="ja-JP" sz="1150">
              <a:solidFill>
                <a:schemeClr val="tx1"/>
              </a:solidFill>
            </a:rPr>
            <a:t>÷12×10</a:t>
          </a:r>
          <a:r>
            <a:rPr kumimoji="1" lang="ja-JP" altLang="en-US" sz="1150">
              <a:solidFill>
                <a:schemeClr val="tx1"/>
              </a:solidFill>
            </a:rPr>
            <a:t>＝</a:t>
          </a:r>
          <a:r>
            <a:rPr kumimoji="1" lang="en-US" altLang="ja-JP" sz="1150">
              <a:solidFill>
                <a:schemeClr val="tx1"/>
              </a:solidFill>
            </a:rPr>
            <a:t>13,600</a:t>
          </a:r>
          <a:r>
            <a:rPr kumimoji="1" lang="ja-JP" altLang="en-US" sz="1150">
              <a:solidFill>
                <a:schemeClr val="tx1"/>
              </a:solidFill>
            </a:rPr>
            <a:t>円（百円未満切捨て）となります</a:t>
          </a:r>
          <a:r>
            <a:rPr kumimoji="1" lang="ja-JP" altLang="en-US" sz="1100">
              <a:solidFill>
                <a:schemeClr val="tx1"/>
              </a:solidFill>
            </a:rPr>
            <a:t>。</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304800</xdr:colOff>
      <xdr:row>0</xdr:row>
      <xdr:rowOff>998855</xdr:rowOff>
    </xdr:from>
    <xdr:to>
      <xdr:col>11</xdr:col>
      <xdr:colOff>419100</xdr:colOff>
      <xdr:row>4</xdr:row>
      <xdr:rowOff>114300</xdr:rowOff>
    </xdr:to>
    <xdr:sp macro="" textlink="">
      <xdr:nvSpPr>
        <xdr:cNvPr id="2" name="Rectangle 11">
          <a:extLst>
            <a:ext uri="{FF2B5EF4-FFF2-40B4-BE49-F238E27FC236}">
              <a16:creationId xmlns:a16="http://schemas.microsoft.com/office/drawing/2014/main" id="{6A699B40-4063-4BBD-99EC-68CB3B3F15B2}"/>
            </a:ext>
          </a:extLst>
        </xdr:cNvPr>
        <xdr:cNvSpPr>
          <a:spLocks noChangeArrowheads="1"/>
        </xdr:cNvSpPr>
      </xdr:nvSpPr>
      <xdr:spPr>
        <a:xfrm>
          <a:off x="3400425" y="998855"/>
          <a:ext cx="5391150" cy="80137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賦課期日現在（</a:t>
          </a:r>
          <a:r>
            <a:rPr lang="en-US" altLang="ja-JP" sz="1100" b="0" i="0" u="none" strike="noStrike" baseline="0">
              <a:solidFill>
                <a:srgbClr val="3366FF"/>
              </a:solidFill>
              <a:latin typeface="ＭＳ Ｐゴシック"/>
              <a:ea typeface="ＭＳ Ｐゴシック"/>
            </a:rPr>
            <a:t>※</a:t>
          </a:r>
          <a:r>
            <a:rPr lang="ja-JP" altLang="en-US" sz="1100" b="0" i="0" u="none" strike="noStrike" baseline="0">
              <a:solidFill>
                <a:srgbClr val="3366FF"/>
              </a:solidFill>
              <a:latin typeface="ＭＳ Ｐゴシック"/>
              <a:ea typeface="ＭＳ Ｐゴシック"/>
            </a:rPr>
            <a:t>上記）の月末日までに資格喪失した人（４月中もしくは世帯で資格取得後１か月以内に資格喪失した人）</a:t>
          </a:r>
          <a:r>
            <a:rPr lang="ja-JP" altLang="en-US" sz="1100" b="0" i="0" u="none" strike="noStrike" baseline="0">
              <a:solidFill>
                <a:srgbClr val="000000"/>
              </a:solidFill>
              <a:latin typeface="ＭＳ Ｐゴシック"/>
              <a:ea typeface="ＭＳ Ｐゴシック"/>
            </a:rPr>
            <a:t>も軽減判定に含めるので、</a:t>
          </a:r>
          <a:r>
            <a:rPr lang="ja-JP" altLang="en-US" sz="1100" b="0" i="0" u="none" strike="noStrike" baseline="0">
              <a:solidFill>
                <a:srgbClr val="FF0000"/>
              </a:solidFill>
              <a:latin typeface="ＭＳ Ｐゴシック"/>
              <a:ea typeface="ＭＳ Ｐゴシック"/>
            </a:rPr>
            <a:t>資格期間を「０（月）」</a:t>
          </a:r>
          <a:r>
            <a:rPr lang="ja-JP" altLang="en-US" sz="1100" b="0" i="0" u="none" strike="noStrike" baseline="0">
              <a:solidFill>
                <a:srgbClr val="000000"/>
              </a:solidFill>
              <a:latin typeface="ＭＳ Ｐゴシック"/>
              <a:ea typeface="ＭＳ Ｐゴシック"/>
            </a:rPr>
            <a:t>にして、総所得等を有資格者分と同様に入力してください。（確認を忘れると、</a:t>
          </a:r>
          <a:r>
            <a:rPr lang="ja-JP" altLang="en-US" sz="1100" b="0" i="0" u="sng" strike="noStrike" baseline="0">
              <a:solidFill>
                <a:srgbClr val="FF0000"/>
              </a:solidFill>
              <a:latin typeface="ＭＳ Ｐゴシック"/>
              <a:ea typeface="ＭＳ Ｐゴシック"/>
            </a:rPr>
            <a:t>低所得の世帯の場合、軽減割合を間違えてしまう</a:t>
          </a:r>
          <a:r>
            <a:rPr lang="ja-JP" altLang="en-US" sz="1100" b="0" i="0" u="none" strike="noStrike" baseline="0">
              <a:solidFill>
                <a:srgbClr val="000000"/>
              </a:solidFill>
              <a:latin typeface="ＭＳ Ｐゴシック"/>
              <a:ea typeface="ＭＳ Ｐゴシック"/>
            </a:rPr>
            <a:t>ことになるので注意してください。）</a:t>
          </a:r>
        </a:p>
      </xdr:txBody>
    </xdr:sp>
    <xdr:clientData fPrintsWithSheet="0"/>
  </xdr:twoCellAnchor>
  <xdr:twoCellAnchor>
    <xdr:from>
      <xdr:col>1</xdr:col>
      <xdr:colOff>733425</xdr:colOff>
      <xdr:row>4</xdr:row>
      <xdr:rowOff>114300</xdr:rowOff>
    </xdr:from>
    <xdr:to>
      <xdr:col>4</xdr:col>
      <xdr:colOff>714375</xdr:colOff>
      <xdr:row>11</xdr:row>
      <xdr:rowOff>172085</xdr:rowOff>
    </xdr:to>
    <xdr:sp macro="" textlink="">
      <xdr:nvSpPr>
        <xdr:cNvPr id="3" name="Line 12">
          <a:extLst>
            <a:ext uri="{FF2B5EF4-FFF2-40B4-BE49-F238E27FC236}">
              <a16:creationId xmlns:a16="http://schemas.microsoft.com/office/drawing/2014/main" id="{7D613527-2DBF-4931-859B-99A2D5A5D269}"/>
            </a:ext>
          </a:extLst>
        </xdr:cNvPr>
        <xdr:cNvSpPr>
          <a:spLocks noChangeShapeType="1"/>
        </xdr:cNvSpPr>
      </xdr:nvSpPr>
      <xdr:spPr>
        <a:xfrm flipH="1">
          <a:off x="1343025" y="1800225"/>
          <a:ext cx="2466975" cy="12960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twoCellAnchor>
    <xdr:from>
      <xdr:col>0</xdr:col>
      <xdr:colOff>47625</xdr:colOff>
      <xdr:row>0</xdr:row>
      <xdr:rowOff>248285</xdr:rowOff>
    </xdr:from>
    <xdr:to>
      <xdr:col>8</xdr:col>
      <xdr:colOff>685800</xdr:colOff>
      <xdr:row>0</xdr:row>
      <xdr:rowOff>971550</xdr:rowOff>
    </xdr:to>
    <xdr:sp macro="" textlink="">
      <xdr:nvSpPr>
        <xdr:cNvPr id="4" name="Rectangle 15" descr="紙ふぶき (小)">
          <a:extLst>
            <a:ext uri="{FF2B5EF4-FFF2-40B4-BE49-F238E27FC236}">
              <a16:creationId xmlns:a16="http://schemas.microsoft.com/office/drawing/2014/main" id="{E27CD447-4F02-49E6-B8AD-E8F48616A5D6}"/>
            </a:ext>
          </a:extLst>
        </xdr:cNvPr>
        <xdr:cNvSpPr>
          <a:spLocks noChangeArrowheads="1"/>
        </xdr:cNvSpPr>
      </xdr:nvSpPr>
      <xdr:spPr>
        <a:xfrm>
          <a:off x="47625" y="248285"/>
          <a:ext cx="6734175" cy="723265"/>
        </a:xfrm>
        <a:prstGeom prst="rect">
          <a:avLst/>
        </a:prstGeom>
        <a:pattFill prst="smConfetti">
          <a:fgClr>
            <a:srgbClr xmlns:mc="http://schemas.openxmlformats.org/markup-compatibility/2006" xmlns:a14="http://schemas.microsoft.com/office/drawing/2010/main" val="FFCC99" mc:Ignorable="a14" a14:legacySpreadsheetColorIndex="47"/>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住民税データが入っていない時期や、「給料が○○円の場合の税額はいくらか」というような問い合わせにご利用ください。</a:t>
          </a:r>
        </a:p>
        <a:p>
          <a:pPr algn="l" rtl="0">
            <a:defRPr sz="1000"/>
          </a:pPr>
          <a:r>
            <a:rPr lang="ja-JP" altLang="en-US" sz="1100" b="0" i="0" u="none" strike="noStrike" baseline="0">
              <a:solidFill>
                <a:srgbClr val="000000"/>
              </a:solidFill>
              <a:latin typeface="ＭＳ Ｐゴシック"/>
              <a:ea typeface="ＭＳ Ｐゴシック"/>
            </a:rPr>
            <a:t>　所得割率と均等割・平等割額をパラメータ入力し、対象者の年間資格月数と所得額を入力すると、所得割額計算と月割計算、軽減判定ができるようになっています。また、年度の途中で加わった人の分の追加も行えます。</a:t>
          </a:r>
        </a:p>
        <a:p>
          <a:pPr algn="l" rtl="0">
            <a:lnSpc>
              <a:spcPts val="1200"/>
            </a:lnSpc>
            <a:defRPr sz="1000"/>
          </a:pPr>
          <a:r>
            <a:rPr lang="ja-JP" altLang="en-US" sz="1100" b="0" i="0" u="none" strike="noStrike" baseline="0">
              <a:solidFill>
                <a:srgbClr val="000000"/>
              </a:solidFill>
              <a:latin typeface="ＭＳ Ｐゴシック"/>
              <a:ea typeface="ＭＳ Ｐゴシック"/>
            </a:rPr>
            <a:t>（入力にはセルのコメントを参照してください。）</a:t>
          </a:r>
          <a:r>
            <a:rPr lang="en-US" altLang="ja-JP" sz="1100" b="0" i="0" u="none" strike="noStrike" baseline="0">
              <a:solidFill>
                <a:srgbClr val="000000"/>
              </a:solidFill>
              <a:latin typeface="ＭＳ Ｐゴシック"/>
              <a:ea typeface="ＭＳ Ｐゴシック"/>
            </a:rPr>
            <a:t>※</a:t>
          </a:r>
          <a:r>
            <a:rPr lang="ja-JP" altLang="en-US" sz="1100" b="0" i="0" u="sng" strike="noStrike" baseline="0">
              <a:solidFill>
                <a:srgbClr val="000000"/>
              </a:solidFill>
              <a:latin typeface="ＭＳ Ｐゴシック"/>
              <a:ea typeface="ＭＳ Ｐゴシック"/>
            </a:rPr>
            <a:t>前年度以前からの課税世帯は、一番下の囲み注意</a:t>
          </a:r>
        </a:p>
      </xdr:txBody>
    </xdr:sp>
    <xdr:clientData fPrintsWithSheet="0"/>
  </xdr:twoCellAnchor>
  <xdr:twoCellAnchor>
    <xdr:from>
      <xdr:col>8</xdr:col>
      <xdr:colOff>47625</xdr:colOff>
      <xdr:row>9</xdr:row>
      <xdr:rowOff>38100</xdr:rowOff>
    </xdr:from>
    <xdr:to>
      <xdr:col>10</xdr:col>
      <xdr:colOff>219075</xdr:colOff>
      <xdr:row>11</xdr:row>
      <xdr:rowOff>18415</xdr:rowOff>
    </xdr:to>
    <xdr:sp macro="" textlink="">
      <xdr:nvSpPr>
        <xdr:cNvPr id="5" name="Rectangle 16">
          <a:extLst>
            <a:ext uri="{FF2B5EF4-FFF2-40B4-BE49-F238E27FC236}">
              <a16:creationId xmlns:a16="http://schemas.microsoft.com/office/drawing/2014/main" id="{CE976573-5D9B-4512-A736-2F66C798DF96}"/>
            </a:ext>
          </a:extLst>
        </xdr:cNvPr>
        <xdr:cNvSpPr>
          <a:spLocks noChangeArrowheads="1"/>
        </xdr:cNvSpPr>
      </xdr:nvSpPr>
      <xdr:spPr>
        <a:xfrm>
          <a:off x="6143625" y="2600325"/>
          <a:ext cx="1666875" cy="3422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分離課税で特別控除の分加算</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FF"/>
              </a:solidFill>
              <a:latin typeface="ＭＳ Ｐゴシック"/>
              <a:ea typeface="ＭＳ Ｐゴシック"/>
            </a:rPr>
            <a:t>特控前</a:t>
          </a:r>
          <a:r>
            <a:rPr lang="ja-JP" altLang="en-US" sz="900" b="0" i="0" u="none" strike="noStrike" baseline="0">
              <a:solidFill>
                <a:srgbClr val="000000"/>
              </a:solidFill>
              <a:latin typeface="ＭＳ Ｐゴシック"/>
              <a:ea typeface="ＭＳ Ｐゴシック"/>
            </a:rPr>
            <a:t>で軽減判定</a:t>
          </a:r>
        </a:p>
      </xdr:txBody>
    </xdr:sp>
    <xdr:clientData fPrintsWithSheet="0"/>
  </xdr:twoCellAnchor>
  <xdr:twoCellAnchor>
    <xdr:from>
      <xdr:col>7</xdr:col>
      <xdr:colOff>438150</xdr:colOff>
      <xdr:row>10</xdr:row>
      <xdr:rowOff>0</xdr:rowOff>
    </xdr:from>
    <xdr:to>
      <xdr:col>8</xdr:col>
      <xdr:colOff>57150</xdr:colOff>
      <xdr:row>11</xdr:row>
      <xdr:rowOff>104775</xdr:rowOff>
    </xdr:to>
    <xdr:sp macro="" textlink="">
      <xdr:nvSpPr>
        <xdr:cNvPr id="6" name="Line 17">
          <a:extLst>
            <a:ext uri="{FF2B5EF4-FFF2-40B4-BE49-F238E27FC236}">
              <a16:creationId xmlns:a16="http://schemas.microsoft.com/office/drawing/2014/main" id="{AFCD0CA3-DB1A-47EF-BDCA-B53241C20ECA}"/>
            </a:ext>
          </a:extLst>
        </xdr:cNvPr>
        <xdr:cNvSpPr>
          <a:spLocks noChangeShapeType="1"/>
        </xdr:cNvSpPr>
      </xdr:nvSpPr>
      <xdr:spPr>
        <a:xfrm flipH="1">
          <a:off x="5791200" y="2743200"/>
          <a:ext cx="36195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twoCellAnchor>
    <xdr:from>
      <xdr:col>0</xdr:col>
      <xdr:colOff>361950</xdr:colOff>
      <xdr:row>50</xdr:row>
      <xdr:rowOff>95250</xdr:rowOff>
    </xdr:from>
    <xdr:to>
      <xdr:col>10</xdr:col>
      <xdr:colOff>457200</xdr:colOff>
      <xdr:row>82</xdr:row>
      <xdr:rowOff>123825</xdr:rowOff>
    </xdr:to>
    <xdr:sp macro="" textlink="">
      <xdr:nvSpPr>
        <xdr:cNvPr id="7" name="Rectangle 20">
          <a:extLst>
            <a:ext uri="{FF2B5EF4-FFF2-40B4-BE49-F238E27FC236}">
              <a16:creationId xmlns:a16="http://schemas.microsoft.com/office/drawing/2014/main" id="{8A5B1457-5069-43D3-A6FA-AB4DC85AF35B}"/>
            </a:ext>
          </a:extLst>
        </xdr:cNvPr>
        <xdr:cNvSpPr>
          <a:spLocks noChangeArrowheads="1"/>
        </xdr:cNvSpPr>
      </xdr:nvSpPr>
      <xdr:spPr>
        <a:xfrm>
          <a:off x="361950" y="10601325"/>
          <a:ext cx="7686675" cy="5514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（すでに国保資格を取得している世帯の場合）</a:t>
          </a:r>
        </a:p>
        <a:p>
          <a:pPr algn="l" rtl="0">
            <a:lnSpc>
              <a:spcPts val="1500"/>
            </a:lnSpc>
            <a:defRPr sz="1000"/>
          </a:pPr>
          <a:r>
            <a:rPr lang="ja-JP" altLang="en-US" sz="1200" b="0" i="0" u="sng" strike="noStrike" baseline="0">
              <a:solidFill>
                <a:srgbClr val="3366FF"/>
              </a:solidFill>
              <a:latin typeface="ＭＳ Ｐゴシック"/>
              <a:ea typeface="ＭＳ Ｐゴシック"/>
            </a:rPr>
            <a:t>特定同一世帯の軽減判定、国保単身世帯の世帯平等割半額計算には対応していません。</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新規資格取得者への対応を中心に考えたので、資格の確認が複雑な</a:t>
          </a:r>
          <a:r>
            <a:rPr lang="ja-JP" altLang="en-US" sz="1100" b="0" i="0" u="none" strike="noStrike" baseline="0">
              <a:solidFill>
                <a:srgbClr val="3366FF"/>
              </a:solidFill>
              <a:latin typeface="ＭＳ Ｐゴシック"/>
              <a:ea typeface="ＭＳ Ｐゴシック"/>
            </a:rPr>
            <a:t>特定同一世帯の軽減判定</a:t>
          </a:r>
          <a:r>
            <a:rPr lang="ja-JP" altLang="en-US" sz="1100" b="0" i="0" u="none" strike="noStrike" baseline="0">
              <a:solidFill>
                <a:srgbClr val="000000"/>
              </a:solidFill>
              <a:latin typeface="ＭＳ Ｐゴシック"/>
              <a:ea typeface="ＭＳ Ｐゴシック"/>
            </a:rPr>
            <a:t>（国保から後期へ移行した人を含めての世帯軽減判定）と</a:t>
          </a:r>
          <a:r>
            <a:rPr lang="ja-JP" altLang="en-US" sz="1100" b="0" i="0" u="none" strike="noStrike" baseline="0">
              <a:solidFill>
                <a:srgbClr val="3366FF"/>
              </a:solidFill>
              <a:latin typeface="ＭＳ Ｐゴシック"/>
              <a:ea typeface="ＭＳ Ｐゴシック"/>
            </a:rPr>
            <a:t>国保単身世帯の世帯平等割半額</a:t>
          </a:r>
          <a:r>
            <a:rPr lang="ja-JP" altLang="en-US" sz="1100" b="0" i="0" u="none" strike="noStrike" baseline="0">
              <a:solidFill>
                <a:srgbClr val="000000"/>
              </a:solidFill>
              <a:latin typeface="ＭＳ Ｐゴシック"/>
              <a:ea typeface="ＭＳ Ｐゴシック"/>
            </a:rPr>
            <a:t>（国保から後期へ移行した人がいたために、国保の被保険者が一人になった世帯の平等割を半額にするもの）の計算は入れませんでした。</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3366FF"/>
              </a:solidFill>
              <a:latin typeface="ＭＳ Ｐゴシック"/>
              <a:ea typeface="ＭＳ Ｐゴシック"/>
            </a:rPr>
            <a:t>まったくの新規取得世帯であれば、考慮の必要はありません。</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上記の表は現在の加入者だけを計算するので、後期に移った人を含めると軽減判定が変わります。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その場合は、現在の加入者のみの資格期間と所得額を入力して、世帯員の欄の</a:t>
          </a:r>
          <a:r>
            <a:rPr lang="ja-JP" altLang="en-US" sz="1100" b="0" i="0" u="sng" strike="noStrike" baseline="0">
              <a:solidFill>
                <a:srgbClr val="FF6600"/>
              </a:solidFill>
              <a:latin typeface="ＭＳ Ｐゴシック"/>
              <a:ea typeface="ＭＳ Ｐゴシック"/>
            </a:rPr>
            <a:t>「未申告人数」に「１（人）」を入れて</a:t>
          </a:r>
          <a:r>
            <a:rPr lang="ja-JP" altLang="en-US" sz="1100" b="0" i="0" u="none" strike="noStrike" baseline="0">
              <a:solidFill>
                <a:srgbClr val="000000"/>
              </a:solidFill>
              <a:latin typeface="ＭＳ Ｐゴシック"/>
              <a:ea typeface="ＭＳ Ｐゴシック"/>
            </a:rPr>
            <a:t>軽減判定が</a:t>
          </a:r>
          <a:r>
            <a:rPr lang="ja-JP" altLang="en-US" sz="1100" b="0" i="0" u="sng" strike="noStrike" baseline="0">
              <a:solidFill>
                <a:srgbClr val="000000"/>
              </a:solidFill>
              <a:latin typeface="ＭＳ Ｐゴシック"/>
              <a:ea typeface="ＭＳ Ｐゴシック"/>
            </a:rPr>
            <a:t>されない</a:t>
          </a:r>
          <a:r>
            <a:rPr lang="ja-JP" altLang="en-US" sz="1100" b="0" i="0" u="none" strike="noStrike" baseline="0">
              <a:solidFill>
                <a:srgbClr val="000000"/>
              </a:solidFill>
              <a:latin typeface="ＭＳ Ｐゴシック"/>
              <a:ea typeface="ＭＳ Ｐゴシック"/>
            </a:rPr>
            <a:t>状態にしてください。説明の際には、「後期に移った人の所得によって軽減がかかるかどうか変わるので、この額より少なくなるかもしれないし、変わらないかもしれない」と話してください。（加入者のみで軽減判定をされたままの金額を示すと、</a:t>
          </a:r>
          <a:r>
            <a:rPr lang="ja-JP" altLang="en-US" sz="1100" b="0" i="0" u="sng" strike="noStrike" baseline="0">
              <a:solidFill>
                <a:srgbClr val="000000"/>
              </a:solidFill>
              <a:latin typeface="ＭＳ Ｐゴシック"/>
              <a:ea typeface="ＭＳ Ｐゴシック"/>
            </a:rPr>
            <a:t>後期に移った人の所得が高い場合に軽減がかからなくなるので「試算で示されたより税額が高い」ということになります</a:t>
          </a:r>
          <a:r>
            <a:rPr lang="ja-JP" altLang="en-US" sz="1100" b="0" i="0" u="none" strike="noStrike" baseline="0">
              <a:solidFill>
                <a:srgbClr val="000000"/>
              </a:solidFill>
              <a:latin typeface="ＭＳ Ｐゴシック"/>
              <a:ea typeface="ＭＳ Ｐゴシック"/>
            </a:rPr>
            <a:t>。）</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資格や所得のとらえ方が分かる場合は、上記の表の世帯員の欄に、擬主や資格喪失者と同じように</a:t>
          </a:r>
          <a:r>
            <a:rPr lang="ja-JP" altLang="en-US" sz="1100" b="0" i="0" u="sng" strike="noStrike" baseline="0">
              <a:solidFill>
                <a:srgbClr val="000000"/>
              </a:solidFill>
              <a:latin typeface="ＭＳ Ｐゴシック"/>
              <a:ea typeface="ＭＳ Ｐゴシック"/>
            </a:rPr>
            <a:t>資格期間を０にして所得を入力すると、その人も含めた軽減判定ができます</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平等割半額（国保から後期へ移行した人がいたために、国保の被保険者が一人になった世帯の平等割を半額にするもの）に該当する場合は、平等割額のパラメータを半額に変えて計算してもよいです。</a:t>
          </a:r>
        </a:p>
        <a:p>
          <a:pPr algn="l" rtl="0">
            <a:defRPr sz="1000"/>
          </a:pPr>
          <a:r>
            <a:rPr lang="ja-JP" altLang="en-US" sz="1100" b="0" i="0" u="none" strike="noStrike" baseline="0">
              <a:solidFill>
                <a:srgbClr val="000000"/>
              </a:solidFill>
              <a:latin typeface="ＭＳ Ｐゴシック"/>
              <a:ea typeface="ＭＳ Ｐゴシック"/>
            </a:rPr>
            <a:t>　ただし、年</a:t>
          </a:r>
          <a:r>
            <a:rPr lang="ja-JP" altLang="en-US" sz="1100" b="0" i="0" u="sng" strike="noStrike" baseline="0">
              <a:solidFill>
                <a:srgbClr val="000000"/>
              </a:solidFill>
              <a:latin typeface="ＭＳ Ｐゴシック"/>
              <a:ea typeface="ＭＳ Ｐゴシック"/>
            </a:rPr>
            <a:t>度の途中で切り替わるときなどは、月割りで半額該当部分を計算する仕様にはなっていません。</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また、</a:t>
          </a:r>
          <a:r>
            <a:rPr lang="ja-JP" altLang="en-US" sz="1100" b="0" i="0" u="none" strike="noStrike" baseline="0">
              <a:solidFill>
                <a:srgbClr val="3366FF"/>
              </a:solidFill>
              <a:latin typeface="ＭＳ Ｐゴシック"/>
              <a:ea typeface="ＭＳ Ｐゴシック"/>
            </a:rPr>
            <a:t>旧被扶養者（社会保険の被扶養者だった人で、扶養者が７５歳到達により社保から後期に移ったため国保の資格になった人のうち、</a:t>
          </a:r>
          <a:r>
            <a:rPr lang="ja-JP" altLang="en-US" sz="1100" b="0" i="0" u="sng" strike="noStrike" baseline="0">
              <a:solidFill>
                <a:srgbClr val="3366FF"/>
              </a:solidFill>
              <a:latin typeface="ＭＳ Ｐゴシック"/>
              <a:ea typeface="ＭＳ Ｐゴシック"/>
            </a:rPr>
            <a:t>６５歳以上の「もと社会保険被扶養者」</a:t>
          </a:r>
          <a:r>
            <a:rPr lang="ja-JP" altLang="en-US" sz="1100" b="0" i="0" u="none" strike="noStrike" baseline="0">
              <a:solidFill>
                <a:srgbClr val="3366FF"/>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の均等割・平等割を減免する（申請による）計算もありますが、そちらも計算式は作りませんでした。</a:t>
          </a:r>
        </a:p>
        <a:p>
          <a:pPr algn="l" rtl="0">
            <a:lnSpc>
              <a:spcPts val="1200"/>
            </a:lnSpc>
            <a:defRPr sz="1000"/>
          </a:pPr>
          <a:r>
            <a:rPr lang="ja-JP" altLang="en-US" sz="1100" b="0" i="0" u="none" strike="noStrike" baseline="0">
              <a:solidFill>
                <a:srgbClr val="000000"/>
              </a:solidFill>
              <a:latin typeface="ＭＳ Ｐゴシック"/>
              <a:ea typeface="ＭＳ Ｐゴシック"/>
            </a:rPr>
            <a:t>　もともと申請のうえ適用させるので、手続きの際に聞かれた場合には「所得割・平等割が安く計算される。（少なくとも多くはならない）」くらいの説明でよろしいかと思います。ただし、扶養していた擬主（になった人）も含めた軽減判定の結果により軽減に該当する場合は、減免される部分が異なってきます。</a:t>
          </a:r>
        </a:p>
      </xdr:txBody>
    </xdr:sp>
    <xdr:clientData fPrintsWithSheet="0"/>
  </xdr:twoCellAnchor>
  <xdr:twoCellAnchor>
    <xdr:from>
      <xdr:col>9</xdr:col>
      <xdr:colOff>190500</xdr:colOff>
      <xdr:row>43</xdr:row>
      <xdr:rowOff>28575</xdr:rowOff>
    </xdr:from>
    <xdr:to>
      <xdr:col>11</xdr:col>
      <xdr:colOff>714375</xdr:colOff>
      <xdr:row>46</xdr:row>
      <xdr:rowOff>47625</xdr:rowOff>
    </xdr:to>
    <xdr:sp macro="" textlink="">
      <xdr:nvSpPr>
        <xdr:cNvPr id="8" name="Rectangle 22" descr="セーム皮">
          <a:extLst>
            <a:ext uri="{FF2B5EF4-FFF2-40B4-BE49-F238E27FC236}">
              <a16:creationId xmlns:a16="http://schemas.microsoft.com/office/drawing/2014/main" id="{F6942948-2B53-4E1C-BBD9-F85D561FA1FA}"/>
            </a:ext>
          </a:extLst>
        </xdr:cNvPr>
        <xdr:cNvSpPr>
          <a:spLocks noChangeArrowheads="1"/>
        </xdr:cNvSpPr>
      </xdr:nvSpPr>
      <xdr:spPr>
        <a:xfrm>
          <a:off x="7038975" y="9058275"/>
          <a:ext cx="2047875" cy="542925"/>
        </a:xfrm>
        <a:prstGeom prst="rect">
          <a:avLst/>
        </a:prstGeom>
        <a:blipFill>
          <a:blip xmlns:r="http://schemas.openxmlformats.org/officeDocument/2006/relationships" r:embed="rId1"/>
          <a:tile tx="0" ty="0" sx="100000" sy="100000" flip="none" algn="tl"/>
        </a:blipFill>
        <a:ln w="9525">
          <a:solidFill>
            <a:srgbClr xmlns:mc="http://schemas.openxmlformats.org/markup-compatibility/2006" xmlns:a14="http://schemas.microsoft.com/office/drawing/2010/main" val="FF00FF" mc:Ignorable="a14" a14:legacySpreadsheetColorIndex="14"/>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1000" b="0" i="0" u="none" strike="noStrike" baseline="0">
              <a:solidFill>
                <a:srgbClr val="993366"/>
              </a:solidFill>
              <a:latin typeface="ＭＳ Ｐゴシック"/>
              <a:ea typeface="ＭＳ Ｐゴシック"/>
            </a:rPr>
            <a:t>このページを印刷して提示することも可能です。オートシェイプのオブジェクトは印刷されないようにしています。</a:t>
          </a:r>
        </a:p>
      </xdr:txBody>
    </xdr:sp>
    <xdr:clientData fPrintsWithSheet="0"/>
  </xdr:twoCellAnchor>
  <xdr:twoCellAnchor>
    <xdr:from>
      <xdr:col>5</xdr:col>
      <xdr:colOff>276225</xdr:colOff>
      <xdr:row>20</xdr:row>
      <xdr:rowOff>180340</xdr:rowOff>
    </xdr:from>
    <xdr:to>
      <xdr:col>8</xdr:col>
      <xdr:colOff>86360</xdr:colOff>
      <xdr:row>24</xdr:row>
      <xdr:rowOff>46990</xdr:rowOff>
    </xdr:to>
    <xdr:sp macro="" textlink="">
      <xdr:nvSpPr>
        <xdr:cNvPr id="9" name="Rectangle 22" descr="セーム皮">
          <a:extLst>
            <a:ext uri="{FF2B5EF4-FFF2-40B4-BE49-F238E27FC236}">
              <a16:creationId xmlns:a16="http://schemas.microsoft.com/office/drawing/2014/main" id="{27CF0714-CE5F-46F3-85C9-AC7DEBE206E9}"/>
            </a:ext>
          </a:extLst>
        </xdr:cNvPr>
        <xdr:cNvSpPr>
          <a:spLocks noChangeArrowheads="1"/>
        </xdr:cNvSpPr>
      </xdr:nvSpPr>
      <xdr:spPr>
        <a:xfrm>
          <a:off x="4133850" y="4971415"/>
          <a:ext cx="2048510" cy="542925"/>
        </a:xfrm>
        <a:prstGeom prst="rect">
          <a:avLst/>
        </a:prstGeom>
        <a:blipFill>
          <a:blip xmlns:r="http://schemas.openxmlformats.org/officeDocument/2006/relationships" r:embed="rId1"/>
          <a:tile tx="0" ty="0" sx="100000" sy="100000" flip="none" algn="tl"/>
        </a:blipFill>
        <a:ln w="9525">
          <a:solidFill>
            <a:schemeClr val="tx1"/>
          </a:solidFill>
          <a:miter lim="800000"/>
          <a:headEnd/>
          <a:tailEnd/>
        </a:ln>
      </xdr:spPr>
      <xdr:txBody>
        <a:bodyPr vertOverflow="clip" horzOverflow="overflow" wrap="square" lIns="27432" tIns="18288" rIns="0" bIns="0" anchor="t" upright="1"/>
        <a:lstStyle/>
        <a:p>
          <a:pPr algn="l" rtl="0">
            <a:lnSpc>
              <a:spcPts val="1100"/>
            </a:lnSpc>
            <a:defRPr sz="1000"/>
          </a:pPr>
          <a:r>
            <a:rPr lang="en-US" altLang="ja-JP" sz="1000" b="0" i="0" u="none" strike="noStrike" baseline="0">
              <a:solidFill>
                <a:srgbClr val="002060"/>
              </a:solidFill>
              <a:latin typeface="ＭＳ Ｐゴシック"/>
              <a:ea typeface="ＭＳ Ｐゴシック"/>
            </a:rPr>
            <a:t>R3</a:t>
          </a:r>
          <a:r>
            <a:rPr lang="ja-JP" altLang="en-US" sz="1000" b="0" i="0" u="none" strike="noStrike" baseline="0">
              <a:solidFill>
                <a:srgbClr val="002060"/>
              </a:solidFill>
              <a:latin typeface="ＭＳ Ｐゴシック"/>
              <a:ea typeface="ＭＳ Ｐゴシック"/>
            </a:rPr>
            <a:t>年度用から追加</a:t>
          </a:r>
          <a:endParaRPr lang="en-US" altLang="ja-JP" sz="1000" b="0" i="0" u="none" strike="noStrike" baseline="0">
            <a:solidFill>
              <a:srgbClr val="002060"/>
            </a:solidFill>
            <a:latin typeface="ＭＳ Ｐゴシック"/>
            <a:ea typeface="ＭＳ Ｐゴシック"/>
          </a:endParaRPr>
        </a:p>
        <a:p>
          <a:pPr algn="l" rtl="0">
            <a:lnSpc>
              <a:spcPts val="1100"/>
            </a:lnSpc>
            <a:defRPr sz="1000"/>
          </a:pPr>
          <a:r>
            <a:rPr lang="ja-JP" altLang="en-US" sz="1000" b="0" i="0" u="none" strike="noStrike" baseline="0">
              <a:solidFill>
                <a:srgbClr val="002060"/>
              </a:solidFill>
              <a:latin typeface="ＭＳ Ｐゴシック"/>
              <a:ea typeface="ＭＳ Ｐゴシック"/>
            </a:rPr>
            <a:t>人数によって軽減判定が変わる場合があります。</a:t>
          </a:r>
        </a:p>
      </xdr:txBody>
    </xdr:sp>
    <xdr:clientData fPrintsWithSheet="0"/>
  </xdr:twoCellAnchor>
  <xdr:twoCellAnchor>
    <xdr:from>
      <xdr:col>4</xdr:col>
      <xdr:colOff>752475</xdr:colOff>
      <xdr:row>21</xdr:row>
      <xdr:rowOff>9525</xdr:rowOff>
    </xdr:from>
    <xdr:to>
      <xdr:col>5</xdr:col>
      <xdr:colOff>276225</xdr:colOff>
      <xdr:row>22</xdr:row>
      <xdr:rowOff>62230</xdr:rowOff>
    </xdr:to>
    <xdr:cxnSp macro="">
      <xdr:nvCxnSpPr>
        <xdr:cNvPr id="10" name="直線矢印コネクタ 9">
          <a:extLst>
            <a:ext uri="{FF2B5EF4-FFF2-40B4-BE49-F238E27FC236}">
              <a16:creationId xmlns:a16="http://schemas.microsoft.com/office/drawing/2014/main" id="{69DEA336-C3C8-4DFD-90F5-EC07681D8EBD}"/>
            </a:ext>
          </a:extLst>
        </xdr:cNvPr>
        <xdr:cNvCxnSpPr/>
      </xdr:nvCxnSpPr>
      <xdr:spPr>
        <a:xfrm flipH="1" flipV="1">
          <a:off x="3848100" y="5048250"/>
          <a:ext cx="285750" cy="19558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xdr:col>
      <xdr:colOff>619125</xdr:colOff>
      <xdr:row>8</xdr:row>
      <xdr:rowOff>152400</xdr:rowOff>
    </xdr:from>
    <xdr:to>
      <xdr:col>4</xdr:col>
      <xdr:colOff>666750</xdr:colOff>
      <xdr:row>10</xdr:row>
      <xdr:rowOff>66675</xdr:rowOff>
    </xdr:to>
    <xdr:sp macro="" textlink="">
      <xdr:nvSpPr>
        <xdr:cNvPr id="11" name="Rectangle 16">
          <a:extLst>
            <a:ext uri="{FF2B5EF4-FFF2-40B4-BE49-F238E27FC236}">
              <a16:creationId xmlns:a16="http://schemas.microsoft.com/office/drawing/2014/main" id="{679D07AB-3D85-4CA4-A0BB-7B8111D56978}"/>
            </a:ext>
          </a:extLst>
        </xdr:cNvPr>
        <xdr:cNvSpPr>
          <a:spLocks noChangeArrowheads="1"/>
        </xdr:cNvSpPr>
      </xdr:nvSpPr>
      <xdr:spPr>
        <a:xfrm>
          <a:off x="2952750" y="2533650"/>
          <a:ext cx="809625" cy="276225"/>
        </a:xfrm>
        <a:prstGeom prst="rect">
          <a:avLst/>
        </a:prstGeom>
        <a:solidFill>
          <a:schemeClr val="tx2">
            <a:lumMod val="40000"/>
            <a:lumOff val="60000"/>
          </a:schemeClr>
        </a:solidFill>
        <a:ln w="9525">
          <a:solidFill>
            <a:schemeClr val="tx2">
              <a:lumMod val="75000"/>
            </a:schemeClr>
          </a:solidFill>
          <a:miter lim="800000"/>
          <a:headEnd/>
          <a:tailEnd/>
        </a:ln>
      </xdr:spPr>
      <xdr:txBody>
        <a:bodyPr vertOverflow="clip" horzOverflow="overflow" wrap="square" lIns="27432" tIns="18288" rIns="0" bIns="0" anchor="ctr" upright="1"/>
        <a:lstStyle/>
        <a:p>
          <a:pPr algn="l" rtl="0">
            <a:lnSpc>
              <a:spcPts val="1100"/>
            </a:lnSpc>
            <a:defRPr sz="1000"/>
          </a:pPr>
          <a:r>
            <a:rPr lang="en-US" altLang="ja-JP" sz="900" b="1" i="0" u="none" strike="noStrike" baseline="0">
              <a:solidFill>
                <a:schemeClr val="tx2">
                  <a:lumMod val="50000"/>
                </a:schemeClr>
              </a:solidFill>
              <a:latin typeface="ＭＳ Ｐゴシック"/>
              <a:ea typeface="ＭＳ Ｐゴシック"/>
            </a:rPr>
            <a:t>R4</a:t>
          </a:r>
          <a:r>
            <a:rPr lang="ja-JP" altLang="en-US" sz="900" b="1" i="0" u="none" strike="noStrike" baseline="0">
              <a:solidFill>
                <a:schemeClr val="tx2">
                  <a:lumMod val="50000"/>
                </a:schemeClr>
              </a:solidFill>
              <a:latin typeface="ＭＳ Ｐゴシック"/>
              <a:ea typeface="ＭＳ Ｐゴシック"/>
            </a:rPr>
            <a:t>追加項目</a:t>
          </a:r>
        </a:p>
      </xdr:txBody>
    </xdr:sp>
    <xdr:clientData fPrintsWithSheet="0"/>
  </xdr:twoCellAnchor>
  <xdr:twoCellAnchor>
    <xdr:from>
      <xdr:col>3</xdr:col>
      <xdr:colOff>438150</xdr:colOff>
      <xdr:row>9</xdr:row>
      <xdr:rowOff>142875</xdr:rowOff>
    </xdr:from>
    <xdr:to>
      <xdr:col>3</xdr:col>
      <xdr:colOff>613954</xdr:colOff>
      <xdr:row>11</xdr:row>
      <xdr:rowOff>76200</xdr:rowOff>
    </xdr:to>
    <xdr:sp macro="" textlink="">
      <xdr:nvSpPr>
        <xdr:cNvPr id="12" name="Line 17">
          <a:extLst>
            <a:ext uri="{FF2B5EF4-FFF2-40B4-BE49-F238E27FC236}">
              <a16:creationId xmlns:a16="http://schemas.microsoft.com/office/drawing/2014/main" id="{C954108D-641E-4E95-B8D5-F77F9B9A1227}"/>
            </a:ext>
          </a:extLst>
        </xdr:cNvPr>
        <xdr:cNvSpPr>
          <a:spLocks noChangeShapeType="1"/>
        </xdr:cNvSpPr>
      </xdr:nvSpPr>
      <xdr:spPr>
        <a:xfrm flipH="1">
          <a:off x="2771775" y="2705100"/>
          <a:ext cx="175804"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998855</xdr:rowOff>
    </xdr:from>
    <xdr:to>
      <xdr:col>11</xdr:col>
      <xdr:colOff>419100</xdr:colOff>
      <xdr:row>4</xdr:row>
      <xdr:rowOff>114300</xdr:rowOff>
    </xdr:to>
    <xdr:sp macro="" textlink="">
      <xdr:nvSpPr>
        <xdr:cNvPr id="1035" name="Rectangle 11">
          <a:extLst>
            <a:ext uri="{FF2B5EF4-FFF2-40B4-BE49-F238E27FC236}">
              <a16:creationId xmlns:a16="http://schemas.microsoft.com/office/drawing/2014/main" id="{00000000-0008-0000-0000-00000B040000}"/>
            </a:ext>
          </a:extLst>
        </xdr:cNvPr>
        <xdr:cNvSpPr>
          <a:spLocks noChangeArrowheads="1"/>
        </xdr:cNvSpPr>
      </xdr:nvSpPr>
      <xdr:spPr>
        <a:xfrm>
          <a:off x="3400425" y="998855"/>
          <a:ext cx="5391150" cy="80137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3366FF"/>
              </a:solidFill>
              <a:latin typeface="ＭＳ Ｐゴシック"/>
              <a:ea typeface="ＭＳ Ｐゴシック"/>
            </a:rPr>
            <a:t>賦課期日現在（</a:t>
          </a:r>
          <a:r>
            <a:rPr lang="en-US" altLang="ja-JP" sz="1100" b="0" i="0" u="none" strike="noStrike" baseline="0">
              <a:solidFill>
                <a:srgbClr val="3366FF"/>
              </a:solidFill>
              <a:latin typeface="ＭＳ Ｐゴシック"/>
              <a:ea typeface="ＭＳ Ｐゴシック"/>
            </a:rPr>
            <a:t>※</a:t>
          </a:r>
          <a:r>
            <a:rPr lang="ja-JP" altLang="en-US" sz="1100" b="0" i="0" u="none" strike="noStrike" baseline="0">
              <a:solidFill>
                <a:srgbClr val="3366FF"/>
              </a:solidFill>
              <a:latin typeface="ＭＳ Ｐゴシック"/>
              <a:ea typeface="ＭＳ Ｐゴシック"/>
            </a:rPr>
            <a:t>上記）の月末日までに資格喪失した人（４月中もしくは世帯で資格取得後１か月以内に資格喪失した人）</a:t>
          </a:r>
          <a:r>
            <a:rPr lang="ja-JP" altLang="en-US" sz="1100" b="0" i="0" u="none" strike="noStrike" baseline="0">
              <a:solidFill>
                <a:srgbClr val="000000"/>
              </a:solidFill>
              <a:latin typeface="ＭＳ Ｐゴシック"/>
              <a:ea typeface="ＭＳ Ｐゴシック"/>
            </a:rPr>
            <a:t>も軽減判定に含めるので、</a:t>
          </a:r>
          <a:r>
            <a:rPr lang="ja-JP" altLang="en-US" sz="1100" b="0" i="0" u="none" strike="noStrike" baseline="0">
              <a:solidFill>
                <a:srgbClr val="FF0000"/>
              </a:solidFill>
              <a:latin typeface="ＭＳ Ｐゴシック"/>
              <a:ea typeface="ＭＳ Ｐゴシック"/>
            </a:rPr>
            <a:t>資格期間を「０（月）」</a:t>
          </a:r>
          <a:r>
            <a:rPr lang="ja-JP" altLang="en-US" sz="1100" b="0" i="0" u="none" strike="noStrike" baseline="0">
              <a:solidFill>
                <a:srgbClr val="000000"/>
              </a:solidFill>
              <a:latin typeface="ＭＳ Ｐゴシック"/>
              <a:ea typeface="ＭＳ Ｐゴシック"/>
            </a:rPr>
            <a:t>にして、総所得等を有資格者分と同様に入力してください。（確認を忘れると、</a:t>
          </a:r>
          <a:r>
            <a:rPr lang="ja-JP" altLang="en-US" sz="1100" b="0" i="0" u="sng" strike="noStrike" baseline="0">
              <a:solidFill>
                <a:srgbClr val="FF0000"/>
              </a:solidFill>
              <a:latin typeface="ＭＳ Ｐゴシック"/>
              <a:ea typeface="ＭＳ Ｐゴシック"/>
            </a:rPr>
            <a:t>低所得の世帯の場合、軽減割合を間違えてしまう</a:t>
          </a:r>
          <a:r>
            <a:rPr lang="ja-JP" altLang="en-US" sz="1100" b="0" i="0" u="none" strike="noStrike" baseline="0">
              <a:solidFill>
                <a:srgbClr val="000000"/>
              </a:solidFill>
              <a:latin typeface="ＭＳ Ｐゴシック"/>
              <a:ea typeface="ＭＳ Ｐゴシック"/>
            </a:rPr>
            <a:t>ことになるので注意してください。）</a:t>
          </a:r>
        </a:p>
      </xdr:txBody>
    </xdr:sp>
    <xdr:clientData fPrintsWithSheet="0"/>
  </xdr:twoCellAnchor>
  <xdr:twoCellAnchor>
    <xdr:from>
      <xdr:col>1</xdr:col>
      <xdr:colOff>733425</xdr:colOff>
      <xdr:row>4</xdr:row>
      <xdr:rowOff>114300</xdr:rowOff>
    </xdr:from>
    <xdr:to>
      <xdr:col>4</xdr:col>
      <xdr:colOff>714375</xdr:colOff>
      <xdr:row>11</xdr:row>
      <xdr:rowOff>172085</xdr:rowOff>
    </xdr:to>
    <xdr:sp macro="" textlink="">
      <xdr:nvSpPr>
        <xdr:cNvPr id="1068" name="Line 12">
          <a:extLst>
            <a:ext uri="{FF2B5EF4-FFF2-40B4-BE49-F238E27FC236}">
              <a16:creationId xmlns:a16="http://schemas.microsoft.com/office/drawing/2014/main" id="{00000000-0008-0000-0000-00002C040000}"/>
            </a:ext>
          </a:extLst>
        </xdr:cNvPr>
        <xdr:cNvSpPr>
          <a:spLocks noChangeShapeType="1"/>
        </xdr:cNvSpPr>
      </xdr:nvSpPr>
      <xdr:spPr>
        <a:xfrm flipH="1">
          <a:off x="1343025" y="1800225"/>
          <a:ext cx="2466975" cy="12960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twoCellAnchor>
    <xdr:from>
      <xdr:col>0</xdr:col>
      <xdr:colOff>47625</xdr:colOff>
      <xdr:row>0</xdr:row>
      <xdr:rowOff>248285</xdr:rowOff>
    </xdr:from>
    <xdr:to>
      <xdr:col>8</xdr:col>
      <xdr:colOff>685800</xdr:colOff>
      <xdr:row>0</xdr:row>
      <xdr:rowOff>971550</xdr:rowOff>
    </xdr:to>
    <xdr:sp macro="" textlink="">
      <xdr:nvSpPr>
        <xdr:cNvPr id="1039" name="Rectangle 15" descr="紙ふぶき (小)">
          <a:extLst>
            <a:ext uri="{FF2B5EF4-FFF2-40B4-BE49-F238E27FC236}">
              <a16:creationId xmlns:a16="http://schemas.microsoft.com/office/drawing/2014/main" id="{00000000-0008-0000-0000-00000F040000}"/>
            </a:ext>
          </a:extLst>
        </xdr:cNvPr>
        <xdr:cNvSpPr>
          <a:spLocks noChangeArrowheads="1"/>
        </xdr:cNvSpPr>
      </xdr:nvSpPr>
      <xdr:spPr>
        <a:xfrm>
          <a:off x="47625" y="248285"/>
          <a:ext cx="6734175" cy="723265"/>
        </a:xfrm>
        <a:prstGeom prst="rect">
          <a:avLst/>
        </a:prstGeom>
        <a:pattFill prst="smConfetti">
          <a:fgClr>
            <a:srgbClr xmlns:mc="http://schemas.openxmlformats.org/markup-compatibility/2006" xmlns:a14="http://schemas.microsoft.com/office/drawing/2010/main" val="FFCC99" mc:Ignorable="a14" a14:legacySpreadsheetColorIndex="47"/>
          </a:fgClr>
          <a:bgClr>
            <a:srgbClr val="FFFFFF"/>
          </a:bgClr>
        </a:patt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住民税データが入っていない時期や、「給料が○○円の場合の税額はいくらか」というような問い合わせにご利用ください。</a:t>
          </a:r>
        </a:p>
        <a:p>
          <a:pPr algn="l" rtl="0">
            <a:defRPr sz="1000"/>
          </a:pPr>
          <a:r>
            <a:rPr lang="ja-JP" altLang="en-US" sz="1100" b="0" i="0" u="none" strike="noStrike" baseline="0">
              <a:solidFill>
                <a:srgbClr val="000000"/>
              </a:solidFill>
              <a:latin typeface="ＭＳ Ｐゴシック"/>
              <a:ea typeface="ＭＳ Ｐゴシック"/>
            </a:rPr>
            <a:t>　所得割率と均等割・平等割額をパラメータ入力し、対象者の年間資格月数と所得額を入力すると、所得割額計算と月割計算、軽減判定ができるようになっています。また、年度の途中で加わった人の分の追加も行えます。</a:t>
          </a:r>
        </a:p>
        <a:p>
          <a:pPr algn="l" rtl="0">
            <a:lnSpc>
              <a:spcPts val="1200"/>
            </a:lnSpc>
            <a:defRPr sz="1000"/>
          </a:pPr>
          <a:r>
            <a:rPr lang="ja-JP" altLang="en-US" sz="1100" b="0" i="0" u="none" strike="noStrike" baseline="0">
              <a:solidFill>
                <a:srgbClr val="000000"/>
              </a:solidFill>
              <a:latin typeface="ＭＳ Ｐゴシック"/>
              <a:ea typeface="ＭＳ Ｐゴシック"/>
            </a:rPr>
            <a:t>（入力にはセルのコメントを参照してください。）</a:t>
          </a:r>
          <a:r>
            <a:rPr lang="en-US" altLang="ja-JP" sz="1100" b="0" i="0" u="none" strike="noStrike" baseline="0">
              <a:solidFill>
                <a:srgbClr val="000000"/>
              </a:solidFill>
              <a:latin typeface="ＭＳ Ｐゴシック"/>
              <a:ea typeface="ＭＳ Ｐゴシック"/>
            </a:rPr>
            <a:t>※</a:t>
          </a:r>
          <a:r>
            <a:rPr lang="ja-JP" altLang="en-US" sz="1100" b="0" i="0" u="sng" strike="noStrike" baseline="0">
              <a:solidFill>
                <a:srgbClr val="000000"/>
              </a:solidFill>
              <a:latin typeface="ＭＳ Ｐゴシック"/>
              <a:ea typeface="ＭＳ Ｐゴシック"/>
            </a:rPr>
            <a:t>前年度以前からの課税世帯は、一番下の囲み注意</a:t>
          </a:r>
        </a:p>
      </xdr:txBody>
    </xdr:sp>
    <xdr:clientData fPrintsWithSheet="0"/>
  </xdr:twoCellAnchor>
  <xdr:twoCellAnchor>
    <xdr:from>
      <xdr:col>8</xdr:col>
      <xdr:colOff>47625</xdr:colOff>
      <xdr:row>9</xdr:row>
      <xdr:rowOff>38100</xdr:rowOff>
    </xdr:from>
    <xdr:to>
      <xdr:col>10</xdr:col>
      <xdr:colOff>219075</xdr:colOff>
      <xdr:row>11</xdr:row>
      <xdr:rowOff>18415</xdr:rowOff>
    </xdr:to>
    <xdr:sp macro="" textlink="">
      <xdr:nvSpPr>
        <xdr:cNvPr id="1040" name="Rectangle 16">
          <a:extLst>
            <a:ext uri="{FF2B5EF4-FFF2-40B4-BE49-F238E27FC236}">
              <a16:creationId xmlns:a16="http://schemas.microsoft.com/office/drawing/2014/main" id="{00000000-0008-0000-0000-000010040000}"/>
            </a:ext>
          </a:extLst>
        </xdr:cNvPr>
        <xdr:cNvSpPr>
          <a:spLocks noChangeArrowheads="1"/>
        </xdr:cNvSpPr>
      </xdr:nvSpPr>
      <xdr:spPr>
        <a:xfrm>
          <a:off x="6143625" y="2600325"/>
          <a:ext cx="1666875" cy="34226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分離課税で特別控除の分加算</a:t>
          </a:r>
        </a:p>
        <a:p>
          <a:pPr algn="l" rtl="0">
            <a:lnSpc>
              <a:spcPts val="10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FF"/>
              </a:solidFill>
              <a:latin typeface="ＭＳ Ｐゴシック"/>
              <a:ea typeface="ＭＳ Ｐゴシック"/>
            </a:rPr>
            <a:t>特控前</a:t>
          </a:r>
          <a:r>
            <a:rPr lang="ja-JP" altLang="en-US" sz="900" b="0" i="0" u="none" strike="noStrike" baseline="0">
              <a:solidFill>
                <a:srgbClr val="000000"/>
              </a:solidFill>
              <a:latin typeface="ＭＳ Ｐゴシック"/>
              <a:ea typeface="ＭＳ Ｐゴシック"/>
            </a:rPr>
            <a:t>で軽減判定</a:t>
          </a:r>
        </a:p>
      </xdr:txBody>
    </xdr:sp>
    <xdr:clientData fPrintsWithSheet="0"/>
  </xdr:twoCellAnchor>
  <xdr:twoCellAnchor>
    <xdr:from>
      <xdr:col>7</xdr:col>
      <xdr:colOff>438150</xdr:colOff>
      <xdr:row>10</xdr:row>
      <xdr:rowOff>0</xdr:rowOff>
    </xdr:from>
    <xdr:to>
      <xdr:col>8</xdr:col>
      <xdr:colOff>57150</xdr:colOff>
      <xdr:row>11</xdr:row>
      <xdr:rowOff>104775</xdr:rowOff>
    </xdr:to>
    <xdr:sp macro="" textlink="">
      <xdr:nvSpPr>
        <xdr:cNvPr id="1071" name="Line 17">
          <a:extLst>
            <a:ext uri="{FF2B5EF4-FFF2-40B4-BE49-F238E27FC236}">
              <a16:creationId xmlns:a16="http://schemas.microsoft.com/office/drawing/2014/main" id="{00000000-0008-0000-0000-00002F040000}"/>
            </a:ext>
          </a:extLst>
        </xdr:cNvPr>
        <xdr:cNvSpPr>
          <a:spLocks noChangeShapeType="1"/>
        </xdr:cNvSpPr>
      </xdr:nvSpPr>
      <xdr:spPr>
        <a:xfrm flipH="1">
          <a:off x="5791200" y="2743200"/>
          <a:ext cx="36195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twoCellAnchor>
    <xdr:from>
      <xdr:col>0</xdr:col>
      <xdr:colOff>361950</xdr:colOff>
      <xdr:row>50</xdr:row>
      <xdr:rowOff>95250</xdr:rowOff>
    </xdr:from>
    <xdr:to>
      <xdr:col>10</xdr:col>
      <xdr:colOff>457200</xdr:colOff>
      <xdr:row>82</xdr:row>
      <xdr:rowOff>123825</xdr:rowOff>
    </xdr:to>
    <xdr:sp macro="" textlink="">
      <xdr:nvSpPr>
        <xdr:cNvPr id="1044" name="Rectangle 20">
          <a:extLst>
            <a:ext uri="{FF2B5EF4-FFF2-40B4-BE49-F238E27FC236}">
              <a16:creationId xmlns:a16="http://schemas.microsoft.com/office/drawing/2014/main" id="{00000000-0008-0000-0000-000014040000}"/>
            </a:ext>
          </a:extLst>
        </xdr:cNvPr>
        <xdr:cNvSpPr>
          <a:spLocks noChangeArrowheads="1"/>
        </xdr:cNvSpPr>
      </xdr:nvSpPr>
      <xdr:spPr>
        <a:xfrm>
          <a:off x="361950" y="10591800"/>
          <a:ext cx="7686675" cy="5514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（すでに国保資格を取得している世帯の場合）</a:t>
          </a:r>
        </a:p>
        <a:p>
          <a:pPr algn="l" rtl="0">
            <a:lnSpc>
              <a:spcPts val="1500"/>
            </a:lnSpc>
            <a:defRPr sz="1000"/>
          </a:pPr>
          <a:r>
            <a:rPr lang="ja-JP" altLang="en-US" sz="1200" b="0" i="0" u="sng" strike="noStrike" baseline="0">
              <a:solidFill>
                <a:srgbClr val="3366FF"/>
              </a:solidFill>
              <a:latin typeface="ＭＳ Ｐゴシック"/>
              <a:ea typeface="ＭＳ Ｐゴシック"/>
            </a:rPr>
            <a:t>特定同一世帯の軽減判定、国保単身世帯の世帯平等割半額計算には対応していません。</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新規資格取得者への対応を中心に考えたので、資格の確認が複雑な</a:t>
          </a:r>
          <a:r>
            <a:rPr lang="ja-JP" altLang="en-US" sz="1100" b="0" i="0" u="none" strike="noStrike" baseline="0">
              <a:solidFill>
                <a:srgbClr val="3366FF"/>
              </a:solidFill>
              <a:latin typeface="ＭＳ Ｐゴシック"/>
              <a:ea typeface="ＭＳ Ｐゴシック"/>
            </a:rPr>
            <a:t>特定同一世帯の軽減判定</a:t>
          </a:r>
          <a:r>
            <a:rPr lang="ja-JP" altLang="en-US" sz="1100" b="0" i="0" u="none" strike="noStrike" baseline="0">
              <a:solidFill>
                <a:srgbClr val="000000"/>
              </a:solidFill>
              <a:latin typeface="ＭＳ Ｐゴシック"/>
              <a:ea typeface="ＭＳ Ｐゴシック"/>
            </a:rPr>
            <a:t>（国保から後期へ移行した人を含めての世帯軽減判定）と</a:t>
          </a:r>
          <a:r>
            <a:rPr lang="ja-JP" altLang="en-US" sz="1100" b="0" i="0" u="none" strike="noStrike" baseline="0">
              <a:solidFill>
                <a:srgbClr val="3366FF"/>
              </a:solidFill>
              <a:latin typeface="ＭＳ Ｐゴシック"/>
              <a:ea typeface="ＭＳ Ｐゴシック"/>
            </a:rPr>
            <a:t>国保単身世帯の世帯平等割半額</a:t>
          </a:r>
          <a:r>
            <a:rPr lang="ja-JP" altLang="en-US" sz="1100" b="0" i="0" u="none" strike="noStrike" baseline="0">
              <a:solidFill>
                <a:srgbClr val="000000"/>
              </a:solidFill>
              <a:latin typeface="ＭＳ Ｐゴシック"/>
              <a:ea typeface="ＭＳ Ｐゴシック"/>
            </a:rPr>
            <a:t>（国保から後期へ移行した人がいたために、国保の被保険者が一人になった世帯の平等割を半額にするもの）の計算は入れませんでした。</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3366FF"/>
              </a:solidFill>
              <a:latin typeface="ＭＳ Ｐゴシック"/>
              <a:ea typeface="ＭＳ Ｐゴシック"/>
            </a:rPr>
            <a:t>まったくの新規取得世帯であれば、考慮の必要はありません。</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上記の表は現在の加入者だけを計算するので、後期に移った人を含めると軽減判定が変わります。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その場合は、現在の加入者のみの資格期間と所得額を入力して、世帯員の欄の</a:t>
          </a:r>
          <a:r>
            <a:rPr lang="ja-JP" altLang="en-US" sz="1100" b="0" i="0" u="sng" strike="noStrike" baseline="0">
              <a:solidFill>
                <a:srgbClr val="FF6600"/>
              </a:solidFill>
              <a:latin typeface="ＭＳ Ｐゴシック"/>
              <a:ea typeface="ＭＳ Ｐゴシック"/>
            </a:rPr>
            <a:t>「未申告人数」に「１（人）」を入れて</a:t>
          </a:r>
          <a:r>
            <a:rPr lang="ja-JP" altLang="en-US" sz="1100" b="0" i="0" u="none" strike="noStrike" baseline="0">
              <a:solidFill>
                <a:srgbClr val="000000"/>
              </a:solidFill>
              <a:latin typeface="ＭＳ Ｐゴシック"/>
              <a:ea typeface="ＭＳ Ｐゴシック"/>
            </a:rPr>
            <a:t>軽減判定が</a:t>
          </a:r>
          <a:r>
            <a:rPr lang="ja-JP" altLang="en-US" sz="1100" b="0" i="0" u="sng" strike="noStrike" baseline="0">
              <a:solidFill>
                <a:srgbClr val="000000"/>
              </a:solidFill>
              <a:latin typeface="ＭＳ Ｐゴシック"/>
              <a:ea typeface="ＭＳ Ｐゴシック"/>
            </a:rPr>
            <a:t>されない</a:t>
          </a:r>
          <a:r>
            <a:rPr lang="ja-JP" altLang="en-US" sz="1100" b="0" i="0" u="none" strike="noStrike" baseline="0">
              <a:solidFill>
                <a:srgbClr val="000000"/>
              </a:solidFill>
              <a:latin typeface="ＭＳ Ｐゴシック"/>
              <a:ea typeface="ＭＳ Ｐゴシック"/>
            </a:rPr>
            <a:t>状態にしてください。説明の際には、「後期に移った人の所得によって軽減がかかるかどうか変わるので、この額より少なくなるかもしれないし、変わらないかもしれない」と話してください。（加入者のみで軽減判定をされたままの金額を示すと、</a:t>
          </a:r>
          <a:r>
            <a:rPr lang="ja-JP" altLang="en-US" sz="1100" b="0" i="0" u="sng" strike="noStrike" baseline="0">
              <a:solidFill>
                <a:srgbClr val="000000"/>
              </a:solidFill>
              <a:latin typeface="ＭＳ Ｐゴシック"/>
              <a:ea typeface="ＭＳ Ｐゴシック"/>
            </a:rPr>
            <a:t>後期に移った人の所得が高い場合に軽減がかからなくなるので「試算で示されたより税額が高い」ということになります</a:t>
          </a:r>
          <a:r>
            <a:rPr lang="ja-JP" altLang="en-US" sz="1100" b="0" i="0" u="none" strike="noStrike" baseline="0">
              <a:solidFill>
                <a:srgbClr val="000000"/>
              </a:solidFill>
              <a:latin typeface="ＭＳ Ｐゴシック"/>
              <a:ea typeface="ＭＳ Ｐゴシック"/>
            </a:rPr>
            <a:t>。）</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資格や所得のとらえ方が分かる場合は、上記の表の世帯員の欄に、擬主や資格喪失者と同じように</a:t>
          </a:r>
          <a:r>
            <a:rPr lang="ja-JP" altLang="en-US" sz="1100" b="0" i="0" u="sng" strike="noStrike" baseline="0">
              <a:solidFill>
                <a:srgbClr val="000000"/>
              </a:solidFill>
              <a:latin typeface="ＭＳ Ｐゴシック"/>
              <a:ea typeface="ＭＳ Ｐゴシック"/>
            </a:rPr>
            <a:t>資格期間を０にして所得を入力すると、その人も含めた軽減判定ができます</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平等割半額（国保から後期へ移行した人がいたために、国保の被保険者が一人になった世帯の平等割を半額にするもの）に該当する場合は、平等割額のパラメータを半額に変えて計算してもよいです。</a:t>
          </a:r>
        </a:p>
        <a:p>
          <a:pPr algn="l" rtl="0">
            <a:defRPr sz="1000"/>
          </a:pPr>
          <a:r>
            <a:rPr lang="ja-JP" altLang="en-US" sz="1100" b="0" i="0" u="none" strike="noStrike" baseline="0">
              <a:solidFill>
                <a:srgbClr val="000000"/>
              </a:solidFill>
              <a:latin typeface="ＭＳ Ｐゴシック"/>
              <a:ea typeface="ＭＳ Ｐゴシック"/>
            </a:rPr>
            <a:t>　ただし、年</a:t>
          </a:r>
          <a:r>
            <a:rPr lang="ja-JP" altLang="en-US" sz="1100" b="0" i="0" u="sng" strike="noStrike" baseline="0">
              <a:solidFill>
                <a:srgbClr val="000000"/>
              </a:solidFill>
              <a:latin typeface="ＭＳ Ｐゴシック"/>
              <a:ea typeface="ＭＳ Ｐゴシック"/>
            </a:rPr>
            <a:t>度の途中で切り替わるときなどは、月割りで半額該当部分を計算する仕様にはなっていません。</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また、</a:t>
          </a:r>
          <a:r>
            <a:rPr lang="ja-JP" altLang="en-US" sz="1100" b="0" i="0" u="none" strike="noStrike" baseline="0">
              <a:solidFill>
                <a:srgbClr val="3366FF"/>
              </a:solidFill>
              <a:latin typeface="ＭＳ Ｐゴシック"/>
              <a:ea typeface="ＭＳ Ｐゴシック"/>
            </a:rPr>
            <a:t>旧被扶養者（社会保険の被扶養者だった人で、扶養者が７５歳到達により社保から後期に移ったため国保の資格になった人のうち、</a:t>
          </a:r>
          <a:r>
            <a:rPr lang="ja-JP" altLang="en-US" sz="1100" b="0" i="0" u="sng" strike="noStrike" baseline="0">
              <a:solidFill>
                <a:srgbClr val="3366FF"/>
              </a:solidFill>
              <a:latin typeface="ＭＳ Ｐゴシック"/>
              <a:ea typeface="ＭＳ Ｐゴシック"/>
            </a:rPr>
            <a:t>６５歳以上の「もと社会保険被扶養者」</a:t>
          </a:r>
          <a:r>
            <a:rPr lang="ja-JP" altLang="en-US" sz="1100" b="0" i="0" u="none" strike="noStrike" baseline="0">
              <a:solidFill>
                <a:srgbClr val="3366FF"/>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の均等割・平等割を減免する（申請による）計算もありますが、そちらも計算式は作りませんでした。</a:t>
          </a:r>
        </a:p>
        <a:p>
          <a:pPr algn="l" rtl="0">
            <a:lnSpc>
              <a:spcPts val="1200"/>
            </a:lnSpc>
            <a:defRPr sz="1000"/>
          </a:pPr>
          <a:r>
            <a:rPr lang="ja-JP" altLang="en-US" sz="1100" b="0" i="0" u="none" strike="noStrike" baseline="0">
              <a:solidFill>
                <a:srgbClr val="000000"/>
              </a:solidFill>
              <a:latin typeface="ＭＳ Ｐゴシック"/>
              <a:ea typeface="ＭＳ Ｐゴシック"/>
            </a:rPr>
            <a:t>　もともと申請のうえ適用させるので、手続きの際に聞かれた場合には「所得割・平等割が安く計算される。（少なくとも多くはならない）」くらいの説明でよろしいかと思います。ただし、扶養していた擬主（になった人）も含めた軽減判定の結果により軽減に該当する場合は、減免される部分が異なってきます。</a:t>
          </a:r>
        </a:p>
      </xdr:txBody>
    </xdr:sp>
    <xdr:clientData fPrintsWithSheet="0"/>
  </xdr:twoCellAnchor>
  <xdr:twoCellAnchor>
    <xdr:from>
      <xdr:col>9</xdr:col>
      <xdr:colOff>190500</xdr:colOff>
      <xdr:row>43</xdr:row>
      <xdr:rowOff>28575</xdr:rowOff>
    </xdr:from>
    <xdr:to>
      <xdr:col>11</xdr:col>
      <xdr:colOff>714375</xdr:colOff>
      <xdr:row>46</xdr:row>
      <xdr:rowOff>47625</xdr:rowOff>
    </xdr:to>
    <xdr:sp macro="" textlink="">
      <xdr:nvSpPr>
        <xdr:cNvPr id="1046" name="Rectangle 22" descr="セーム皮">
          <a:extLst>
            <a:ext uri="{FF2B5EF4-FFF2-40B4-BE49-F238E27FC236}">
              <a16:creationId xmlns:a16="http://schemas.microsoft.com/office/drawing/2014/main" id="{00000000-0008-0000-0000-000016040000}"/>
            </a:ext>
          </a:extLst>
        </xdr:cNvPr>
        <xdr:cNvSpPr>
          <a:spLocks noChangeArrowheads="1"/>
        </xdr:cNvSpPr>
      </xdr:nvSpPr>
      <xdr:spPr>
        <a:xfrm>
          <a:off x="7038975" y="9020175"/>
          <a:ext cx="2047875" cy="542925"/>
        </a:xfrm>
        <a:prstGeom prst="rect">
          <a:avLst/>
        </a:prstGeom>
        <a:blipFill>
          <a:blip xmlns:r="http://schemas.openxmlformats.org/officeDocument/2006/relationships" r:embed="rId1"/>
          <a:tile tx="0" ty="0" sx="100000" sy="100000" flip="none" algn="tl"/>
        </a:blipFill>
        <a:ln w="9525">
          <a:solidFill>
            <a:srgbClr xmlns:mc="http://schemas.openxmlformats.org/markup-compatibility/2006" xmlns:a14="http://schemas.microsoft.com/office/drawing/2010/main" val="FF00FF" mc:Ignorable="a14" a14:legacySpreadsheetColorIndex="14"/>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1000" b="0" i="0" u="none" strike="noStrike" baseline="0">
              <a:solidFill>
                <a:srgbClr val="993366"/>
              </a:solidFill>
              <a:latin typeface="ＭＳ Ｐゴシック"/>
              <a:ea typeface="ＭＳ Ｐゴシック"/>
            </a:rPr>
            <a:t>このページを印刷して提示することも可能です。オートシェイプのオブジェクトは印刷されないようにしています。</a:t>
          </a:r>
        </a:p>
      </xdr:txBody>
    </xdr:sp>
    <xdr:clientData fPrintsWithSheet="0"/>
  </xdr:twoCellAnchor>
  <xdr:twoCellAnchor>
    <xdr:from>
      <xdr:col>5</xdr:col>
      <xdr:colOff>276225</xdr:colOff>
      <xdr:row>20</xdr:row>
      <xdr:rowOff>180340</xdr:rowOff>
    </xdr:from>
    <xdr:to>
      <xdr:col>8</xdr:col>
      <xdr:colOff>86360</xdr:colOff>
      <xdr:row>24</xdr:row>
      <xdr:rowOff>46990</xdr:rowOff>
    </xdr:to>
    <xdr:sp macro="" textlink="">
      <xdr:nvSpPr>
        <xdr:cNvPr id="10" name="Rectangle 22" descr="セーム皮">
          <a:extLst>
            <a:ext uri="{FF2B5EF4-FFF2-40B4-BE49-F238E27FC236}">
              <a16:creationId xmlns:a16="http://schemas.microsoft.com/office/drawing/2014/main" id="{00000000-0008-0000-0000-00000A000000}"/>
            </a:ext>
          </a:extLst>
        </xdr:cNvPr>
        <xdr:cNvSpPr>
          <a:spLocks noChangeArrowheads="1"/>
        </xdr:cNvSpPr>
      </xdr:nvSpPr>
      <xdr:spPr>
        <a:xfrm>
          <a:off x="4133850" y="4961890"/>
          <a:ext cx="2048510" cy="542925"/>
        </a:xfrm>
        <a:prstGeom prst="rect">
          <a:avLst/>
        </a:prstGeom>
        <a:blipFill>
          <a:blip xmlns:r="http://schemas.openxmlformats.org/officeDocument/2006/relationships" r:embed="rId1"/>
          <a:tile tx="0" ty="0" sx="100000" sy="100000" flip="none" algn="tl"/>
        </a:blipFill>
        <a:ln w="9525">
          <a:solidFill>
            <a:schemeClr val="tx1"/>
          </a:solidFill>
          <a:miter lim="800000"/>
          <a:headEnd/>
          <a:tailEnd/>
        </a:ln>
      </xdr:spPr>
      <xdr:txBody>
        <a:bodyPr vertOverflow="clip" horzOverflow="overflow" wrap="square" lIns="27432" tIns="18288" rIns="0" bIns="0" anchor="t" upright="1"/>
        <a:lstStyle/>
        <a:p>
          <a:pPr algn="l" rtl="0">
            <a:lnSpc>
              <a:spcPts val="1100"/>
            </a:lnSpc>
            <a:defRPr sz="1000"/>
          </a:pPr>
          <a:r>
            <a:rPr lang="en-US" altLang="ja-JP" sz="1000" b="0" i="0" u="none" strike="noStrike" baseline="0">
              <a:solidFill>
                <a:srgbClr val="002060"/>
              </a:solidFill>
              <a:latin typeface="ＭＳ Ｐゴシック"/>
              <a:ea typeface="ＭＳ Ｐゴシック"/>
            </a:rPr>
            <a:t>R3</a:t>
          </a:r>
          <a:r>
            <a:rPr lang="ja-JP" altLang="en-US" sz="1000" b="0" i="0" u="none" strike="noStrike" baseline="0">
              <a:solidFill>
                <a:srgbClr val="002060"/>
              </a:solidFill>
              <a:latin typeface="ＭＳ Ｐゴシック"/>
              <a:ea typeface="ＭＳ Ｐゴシック"/>
            </a:rPr>
            <a:t>年度用から追加</a:t>
          </a:r>
          <a:endParaRPr lang="en-US" altLang="ja-JP" sz="1000" b="0" i="0" u="none" strike="noStrike" baseline="0">
            <a:solidFill>
              <a:srgbClr val="002060"/>
            </a:solidFill>
            <a:latin typeface="ＭＳ Ｐゴシック"/>
            <a:ea typeface="ＭＳ Ｐゴシック"/>
          </a:endParaRPr>
        </a:p>
        <a:p>
          <a:pPr algn="l" rtl="0">
            <a:lnSpc>
              <a:spcPts val="1100"/>
            </a:lnSpc>
            <a:defRPr sz="1000"/>
          </a:pPr>
          <a:r>
            <a:rPr lang="ja-JP" altLang="en-US" sz="1000" b="0" i="0" u="none" strike="noStrike" baseline="0">
              <a:solidFill>
                <a:srgbClr val="002060"/>
              </a:solidFill>
              <a:latin typeface="ＭＳ Ｐゴシック"/>
              <a:ea typeface="ＭＳ Ｐゴシック"/>
            </a:rPr>
            <a:t>人数によって軽減判定が変わる場合があります。</a:t>
          </a:r>
        </a:p>
      </xdr:txBody>
    </xdr:sp>
    <xdr:clientData fPrintsWithSheet="0"/>
  </xdr:twoCellAnchor>
  <xdr:twoCellAnchor>
    <xdr:from>
      <xdr:col>4</xdr:col>
      <xdr:colOff>752475</xdr:colOff>
      <xdr:row>21</xdr:row>
      <xdr:rowOff>9525</xdr:rowOff>
    </xdr:from>
    <xdr:to>
      <xdr:col>5</xdr:col>
      <xdr:colOff>276225</xdr:colOff>
      <xdr:row>22</xdr:row>
      <xdr:rowOff>62230</xdr:rowOff>
    </xdr:to>
    <xdr:cxnSp macro="">
      <xdr:nvCxnSpPr>
        <xdr:cNvPr id="3" name="直線矢印コネクタ 2">
          <a:extLst>
            <a:ext uri="{FF2B5EF4-FFF2-40B4-BE49-F238E27FC236}">
              <a16:creationId xmlns:a16="http://schemas.microsoft.com/office/drawing/2014/main" id="{00000000-0008-0000-0000-000003000000}"/>
            </a:ext>
          </a:extLst>
        </xdr:cNvPr>
        <xdr:cNvCxnSpPr>
          <a:stCxn id="1069" idx="1"/>
        </xdr:cNvCxnSpPr>
      </xdr:nvCxnSpPr>
      <xdr:spPr>
        <a:xfrm flipH="1" flipV="1">
          <a:off x="3848100" y="5038725"/>
          <a:ext cx="285750" cy="19558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xdr:col>
      <xdr:colOff>619125</xdr:colOff>
      <xdr:row>8</xdr:row>
      <xdr:rowOff>152400</xdr:rowOff>
    </xdr:from>
    <xdr:to>
      <xdr:col>4</xdr:col>
      <xdr:colOff>666750</xdr:colOff>
      <xdr:row>10</xdr:row>
      <xdr:rowOff>66675</xdr:rowOff>
    </xdr:to>
    <xdr:sp macro="" textlink="">
      <xdr:nvSpPr>
        <xdr:cNvPr id="14" name="Rectangle 16">
          <a:extLst>
            <a:ext uri="{FF2B5EF4-FFF2-40B4-BE49-F238E27FC236}">
              <a16:creationId xmlns:a16="http://schemas.microsoft.com/office/drawing/2014/main" id="{CE5F7E45-EA69-4EC1-A462-13C0A3C4DBBD}"/>
            </a:ext>
          </a:extLst>
        </xdr:cNvPr>
        <xdr:cNvSpPr>
          <a:spLocks noChangeArrowheads="1"/>
        </xdr:cNvSpPr>
      </xdr:nvSpPr>
      <xdr:spPr>
        <a:xfrm>
          <a:off x="2952750" y="2524125"/>
          <a:ext cx="809625" cy="257175"/>
        </a:xfrm>
        <a:prstGeom prst="rect">
          <a:avLst/>
        </a:prstGeom>
        <a:solidFill>
          <a:schemeClr val="tx2">
            <a:lumMod val="40000"/>
            <a:lumOff val="60000"/>
          </a:schemeClr>
        </a:solidFill>
        <a:ln w="9525">
          <a:solidFill>
            <a:schemeClr val="tx2">
              <a:lumMod val="75000"/>
            </a:schemeClr>
          </a:solidFill>
          <a:miter lim="800000"/>
          <a:headEnd/>
          <a:tailEnd/>
        </a:ln>
      </xdr:spPr>
      <xdr:txBody>
        <a:bodyPr vertOverflow="clip" horzOverflow="overflow" wrap="square" lIns="27432" tIns="18288" rIns="0" bIns="0" anchor="ctr" upright="1"/>
        <a:lstStyle/>
        <a:p>
          <a:pPr algn="l" rtl="0">
            <a:lnSpc>
              <a:spcPts val="1100"/>
            </a:lnSpc>
            <a:defRPr sz="1000"/>
          </a:pPr>
          <a:r>
            <a:rPr lang="en-US" altLang="ja-JP" sz="900" b="1" i="0" u="none" strike="noStrike" baseline="0">
              <a:solidFill>
                <a:schemeClr val="tx2">
                  <a:lumMod val="50000"/>
                </a:schemeClr>
              </a:solidFill>
              <a:latin typeface="ＭＳ Ｐゴシック"/>
              <a:ea typeface="ＭＳ Ｐゴシック"/>
            </a:rPr>
            <a:t>R4</a:t>
          </a:r>
          <a:r>
            <a:rPr lang="ja-JP" altLang="en-US" sz="900" b="1" i="0" u="none" strike="noStrike" baseline="0">
              <a:solidFill>
                <a:schemeClr val="tx2">
                  <a:lumMod val="50000"/>
                </a:schemeClr>
              </a:solidFill>
              <a:latin typeface="ＭＳ Ｐゴシック"/>
              <a:ea typeface="ＭＳ Ｐゴシック"/>
            </a:rPr>
            <a:t>追加項目</a:t>
          </a:r>
        </a:p>
      </xdr:txBody>
    </xdr:sp>
    <xdr:clientData fPrintsWithSheet="0"/>
  </xdr:twoCellAnchor>
  <xdr:twoCellAnchor>
    <xdr:from>
      <xdr:col>3</xdr:col>
      <xdr:colOff>438150</xdr:colOff>
      <xdr:row>9</xdr:row>
      <xdr:rowOff>142875</xdr:rowOff>
    </xdr:from>
    <xdr:to>
      <xdr:col>3</xdr:col>
      <xdr:colOff>613954</xdr:colOff>
      <xdr:row>11</xdr:row>
      <xdr:rowOff>76200</xdr:rowOff>
    </xdr:to>
    <xdr:sp macro="" textlink="">
      <xdr:nvSpPr>
        <xdr:cNvPr id="15" name="Line 17">
          <a:extLst>
            <a:ext uri="{FF2B5EF4-FFF2-40B4-BE49-F238E27FC236}">
              <a16:creationId xmlns:a16="http://schemas.microsoft.com/office/drawing/2014/main" id="{73AF080D-2733-4397-A914-1CB435092508}"/>
            </a:ext>
          </a:extLst>
        </xdr:cNvPr>
        <xdr:cNvSpPr>
          <a:spLocks noChangeShapeType="1"/>
        </xdr:cNvSpPr>
      </xdr:nvSpPr>
      <xdr:spPr>
        <a:xfrm flipH="1">
          <a:off x="2771775" y="2686050"/>
          <a:ext cx="175804"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200025</xdr:colOff>
      <xdr:row>6</xdr:row>
      <xdr:rowOff>152400</xdr:rowOff>
    </xdr:from>
    <xdr:to>
      <xdr:col>4</xdr:col>
      <xdr:colOff>685800</xdr:colOff>
      <xdr:row>8</xdr:row>
      <xdr:rowOff>143510</xdr:rowOff>
    </xdr:to>
    <xdr:sp macro="" textlink="">
      <xdr:nvSpPr>
        <xdr:cNvPr id="3073" name="Rectangle 1">
          <a:extLst>
            <a:ext uri="{FF2B5EF4-FFF2-40B4-BE49-F238E27FC236}">
              <a16:creationId xmlns:a16="http://schemas.microsoft.com/office/drawing/2014/main" id="{00000000-0008-0000-0100-0000010C0000}"/>
            </a:ext>
          </a:extLst>
        </xdr:cNvPr>
        <xdr:cNvSpPr>
          <a:spLocks noChangeArrowheads="1"/>
        </xdr:cNvSpPr>
      </xdr:nvSpPr>
      <xdr:spPr>
        <a:xfrm>
          <a:off x="1590675" y="1181100"/>
          <a:ext cx="1876425" cy="334010"/>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試算表シートの入力値で計算</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AB965-F00A-42A1-9818-88920136377E}">
  <sheetPr>
    <pageSetUpPr fitToPage="1"/>
  </sheetPr>
  <dimension ref="A1:Q38"/>
  <sheetViews>
    <sheetView tabSelected="1" zoomScale="70" zoomScaleNormal="70" workbookViewId="0">
      <selection activeCell="B16" sqref="B16:B17"/>
    </sheetView>
  </sheetViews>
  <sheetFormatPr defaultRowHeight="13.5"/>
  <cols>
    <col min="2" max="3" width="11.5" customWidth="1"/>
    <col min="4" max="4" width="11" bestFit="1" customWidth="1"/>
    <col min="6" max="6" width="14" customWidth="1"/>
    <col min="8" max="8" width="12.25" customWidth="1"/>
    <col min="10" max="10" width="10.875" customWidth="1"/>
    <col min="12" max="12" width="21.375" style="52" customWidth="1"/>
    <col min="13" max="13" width="9" style="52"/>
    <col min="14" max="14" width="14.75" customWidth="1"/>
  </cols>
  <sheetData>
    <row r="1" spans="1:17" s="52" customFormat="1">
      <c r="A1" s="138" t="s">
        <v>131</v>
      </c>
    </row>
    <row r="2" spans="1:17" s="52" customFormat="1">
      <c r="A2" s="138" t="s">
        <v>128</v>
      </c>
    </row>
    <row r="3" spans="1:17">
      <c r="A3" s="138" t="s">
        <v>132</v>
      </c>
    </row>
    <row r="4" spans="1:17" s="52" customFormat="1">
      <c r="A4" s="138" t="s">
        <v>135</v>
      </c>
    </row>
    <row r="6" spans="1:17" s="52" customFormat="1"/>
    <row r="7" spans="1:17" s="52" customFormat="1"/>
    <row r="8" spans="1:17" s="52" customFormat="1"/>
    <row r="9" spans="1:17" s="52" customFormat="1"/>
    <row r="11" spans="1:17" ht="13.5" customHeight="1">
      <c r="B11" s="157" t="s">
        <v>120</v>
      </c>
      <c r="D11" s="157" t="s">
        <v>121</v>
      </c>
      <c r="F11" s="157" t="s">
        <v>122</v>
      </c>
      <c r="H11" s="157" t="s">
        <v>123</v>
      </c>
      <c r="J11" s="157" t="s">
        <v>124</v>
      </c>
      <c r="L11" s="157" t="s">
        <v>125</v>
      </c>
      <c r="N11" s="157" t="s">
        <v>130</v>
      </c>
    </row>
    <row r="12" spans="1:17" s="52" customFormat="1" ht="14.25" customHeight="1">
      <c r="B12" s="157"/>
      <c r="D12" s="157"/>
      <c r="F12" s="157"/>
      <c r="H12" s="158"/>
      <c r="J12" s="158"/>
      <c r="L12" s="157"/>
      <c r="N12" s="158"/>
    </row>
    <row r="13" spans="1:17" ht="84.75" customHeight="1">
      <c r="A13" s="141" t="s">
        <v>77</v>
      </c>
      <c r="B13" s="133" t="s">
        <v>83</v>
      </c>
      <c r="D13" s="133" t="s">
        <v>119</v>
      </c>
      <c r="F13" s="133" t="s">
        <v>127</v>
      </c>
      <c r="H13" s="141" t="s">
        <v>139</v>
      </c>
      <c r="J13" s="142" t="s">
        <v>129</v>
      </c>
      <c r="L13" s="135" t="s">
        <v>137</v>
      </c>
      <c r="N13" s="137" t="s">
        <v>133</v>
      </c>
      <c r="O13" s="52"/>
      <c r="P13" s="145" t="s">
        <v>126</v>
      </c>
      <c r="Q13" s="145"/>
    </row>
    <row r="14" spans="1:17" ht="21" customHeight="1">
      <c r="A14" s="164" t="s">
        <v>22</v>
      </c>
      <c r="B14" s="165"/>
      <c r="C14" s="154" t="s">
        <v>118</v>
      </c>
      <c r="D14" s="156"/>
      <c r="E14" s="154" t="s">
        <v>118</v>
      </c>
      <c r="F14" s="156"/>
      <c r="G14" s="154" t="s">
        <v>118</v>
      </c>
      <c r="H14" s="155"/>
      <c r="I14" s="154" t="s">
        <v>118</v>
      </c>
      <c r="J14" s="155"/>
      <c r="K14" s="159" t="s">
        <v>118</v>
      </c>
      <c r="L14" s="136"/>
      <c r="M14" s="160" t="s">
        <v>118</v>
      </c>
      <c r="N14" s="155"/>
      <c r="O14" s="154" t="s">
        <v>118</v>
      </c>
      <c r="P14" s="152" t="e">
        <f>'国民健康保険試算表 2'!T13</f>
        <v>#VALUE!</v>
      </c>
      <c r="Q14" s="153"/>
    </row>
    <row r="15" spans="1:17" ht="21" customHeight="1">
      <c r="A15" s="164"/>
      <c r="B15" s="156"/>
      <c r="C15" s="154"/>
      <c r="D15" s="156"/>
      <c r="E15" s="154"/>
      <c r="F15" s="156"/>
      <c r="G15" s="154"/>
      <c r="H15" s="155"/>
      <c r="I15" s="154"/>
      <c r="J15" s="155"/>
      <c r="K15" s="159"/>
      <c r="L15" s="136"/>
      <c r="M15" s="160"/>
      <c r="N15" s="155"/>
      <c r="O15" s="154"/>
      <c r="P15" s="153"/>
      <c r="Q15" s="153"/>
    </row>
    <row r="16" spans="1:17" ht="21" customHeight="1">
      <c r="A16" s="164" t="s">
        <v>26</v>
      </c>
      <c r="B16" s="166"/>
      <c r="C16" s="154"/>
      <c r="D16" s="156"/>
      <c r="E16" s="154"/>
      <c r="F16" s="156"/>
      <c r="G16" s="154"/>
      <c r="H16" s="155"/>
      <c r="I16" s="154"/>
      <c r="J16" s="155"/>
      <c r="K16" s="159"/>
      <c r="L16" s="134"/>
      <c r="M16" s="160"/>
      <c r="N16" s="155"/>
      <c r="O16" s="154"/>
      <c r="P16" s="152" t="e">
        <f>'国民健康保険試算表 2'!T14</f>
        <v>#VALUE!</v>
      </c>
      <c r="Q16" s="153"/>
    </row>
    <row r="17" spans="1:17" ht="21" customHeight="1">
      <c r="A17" s="164"/>
      <c r="B17" s="167"/>
      <c r="C17" s="154"/>
      <c r="D17" s="156"/>
      <c r="E17" s="154"/>
      <c r="F17" s="156"/>
      <c r="G17" s="154"/>
      <c r="H17" s="155"/>
      <c r="I17" s="154"/>
      <c r="J17" s="155"/>
      <c r="K17" s="159"/>
      <c r="L17" s="134"/>
      <c r="M17" s="160"/>
      <c r="N17" s="155"/>
      <c r="O17" s="154"/>
      <c r="P17" s="153"/>
      <c r="Q17" s="153"/>
    </row>
    <row r="18" spans="1:17" ht="21" customHeight="1">
      <c r="A18" s="164" t="s">
        <v>28</v>
      </c>
      <c r="B18" s="166"/>
      <c r="C18" s="154"/>
      <c r="D18" s="156"/>
      <c r="E18" s="154"/>
      <c r="F18" s="156"/>
      <c r="G18" s="154"/>
      <c r="H18" s="155"/>
      <c r="I18" s="154"/>
      <c r="J18" s="155"/>
      <c r="K18" s="159"/>
      <c r="L18" s="161" t="s">
        <v>138</v>
      </c>
      <c r="M18" s="160"/>
      <c r="N18" s="155"/>
      <c r="O18" s="154"/>
      <c r="P18" s="152" t="e">
        <f>'国民健康保険試算表 2'!T15</f>
        <v>#VALUE!</v>
      </c>
      <c r="Q18" s="153"/>
    </row>
    <row r="19" spans="1:17" ht="21" customHeight="1" thickBot="1">
      <c r="A19" s="164"/>
      <c r="B19" s="167"/>
      <c r="C19" s="154"/>
      <c r="D19" s="156"/>
      <c r="E19" s="154"/>
      <c r="F19" s="156"/>
      <c r="G19" s="154"/>
      <c r="H19" s="155"/>
      <c r="I19" s="154"/>
      <c r="J19" s="155"/>
      <c r="K19" s="159"/>
      <c r="L19" s="161"/>
      <c r="M19" s="160"/>
      <c r="N19" s="155"/>
      <c r="O19" s="154"/>
      <c r="P19" s="153"/>
      <c r="Q19" s="153"/>
    </row>
    <row r="20" spans="1:17" ht="21" customHeight="1">
      <c r="A20" s="164" t="s">
        <v>30</v>
      </c>
      <c r="B20" s="166"/>
      <c r="C20" s="154"/>
      <c r="D20" s="156"/>
      <c r="E20" s="154"/>
      <c r="F20" s="156"/>
      <c r="G20" s="154"/>
      <c r="H20" s="155"/>
      <c r="I20" s="154"/>
      <c r="J20" s="155"/>
      <c r="K20" s="159"/>
      <c r="L20" s="162"/>
      <c r="M20" s="160"/>
      <c r="N20" s="155"/>
      <c r="O20" s="154"/>
      <c r="P20" s="152" t="e">
        <f>'国民健康保険試算表 2'!T16</f>
        <v>#VALUE!</v>
      </c>
      <c r="Q20" s="153"/>
    </row>
    <row r="21" spans="1:17" ht="21" customHeight="1" thickBot="1">
      <c r="A21" s="164"/>
      <c r="B21" s="167"/>
      <c r="C21" s="154"/>
      <c r="D21" s="156"/>
      <c r="E21" s="154"/>
      <c r="F21" s="156"/>
      <c r="G21" s="154"/>
      <c r="H21" s="155"/>
      <c r="I21" s="154"/>
      <c r="J21" s="155"/>
      <c r="K21" s="159"/>
      <c r="L21" s="163"/>
      <c r="M21" s="160"/>
      <c r="N21" s="155"/>
      <c r="O21" s="154"/>
      <c r="P21" s="153"/>
      <c r="Q21" s="153"/>
    </row>
    <row r="22" spans="1:17" ht="21" customHeight="1">
      <c r="A22" s="164" t="s">
        <v>31</v>
      </c>
      <c r="B22" s="166"/>
      <c r="C22" s="154"/>
      <c r="D22" s="156"/>
      <c r="E22" s="154"/>
      <c r="F22" s="156"/>
      <c r="G22" s="154"/>
      <c r="H22" s="155"/>
      <c r="I22" s="154"/>
      <c r="J22" s="155"/>
      <c r="K22" s="159"/>
      <c r="L22" s="151"/>
      <c r="M22" s="160"/>
      <c r="N22" s="155"/>
      <c r="O22" s="154"/>
      <c r="P22" s="152" t="e">
        <f>'国民健康保険試算表 2'!T17</f>
        <v>#VALUE!</v>
      </c>
      <c r="Q22" s="153"/>
    </row>
    <row r="23" spans="1:17" ht="21" customHeight="1">
      <c r="A23" s="164"/>
      <c r="B23" s="167"/>
      <c r="C23" s="154"/>
      <c r="D23" s="156"/>
      <c r="E23" s="154"/>
      <c r="F23" s="156"/>
      <c r="G23" s="154"/>
      <c r="H23" s="155"/>
      <c r="I23" s="154"/>
      <c r="J23" s="155"/>
      <c r="K23" s="159"/>
      <c r="L23" s="151"/>
      <c r="M23" s="160"/>
      <c r="N23" s="155"/>
      <c r="O23" s="154"/>
      <c r="P23" s="153"/>
      <c r="Q23" s="153"/>
    </row>
    <row r="24" spans="1:17" ht="21" customHeight="1">
      <c r="A24" s="164" t="s">
        <v>32</v>
      </c>
      <c r="B24" s="166"/>
      <c r="C24" s="154"/>
      <c r="D24" s="156"/>
      <c r="E24" s="154"/>
      <c r="F24" s="156"/>
      <c r="G24" s="154"/>
      <c r="H24" s="155"/>
      <c r="I24" s="154"/>
      <c r="J24" s="155"/>
      <c r="K24" s="159"/>
      <c r="L24" s="151"/>
      <c r="M24" s="160"/>
      <c r="N24" s="155"/>
      <c r="O24" s="154"/>
      <c r="P24" s="152" t="e">
        <f>'国民健康保険試算表 2'!T18</f>
        <v>#VALUE!</v>
      </c>
      <c r="Q24" s="153"/>
    </row>
    <row r="25" spans="1:17" ht="21" customHeight="1">
      <c r="A25" s="164"/>
      <c r="B25" s="167"/>
      <c r="C25" s="154"/>
      <c r="D25" s="156"/>
      <c r="E25" s="154"/>
      <c r="F25" s="156"/>
      <c r="G25" s="154"/>
      <c r="H25" s="155"/>
      <c r="I25" s="154"/>
      <c r="J25" s="155"/>
      <c r="K25" s="159"/>
      <c r="L25" s="151"/>
      <c r="M25" s="160"/>
      <c r="N25" s="155"/>
      <c r="O25" s="154"/>
      <c r="P25" s="153"/>
      <c r="Q25" s="153"/>
    </row>
    <row r="26" spans="1:17" ht="21" customHeight="1">
      <c r="A26" s="164" t="s">
        <v>5</v>
      </c>
      <c r="B26" s="166"/>
      <c r="C26" s="154"/>
      <c r="D26" s="156"/>
      <c r="E26" s="154"/>
      <c r="F26" s="156"/>
      <c r="G26" s="154"/>
      <c r="H26" s="155"/>
      <c r="I26" s="154"/>
      <c r="J26" s="155"/>
      <c r="K26" s="159"/>
      <c r="L26" s="151"/>
      <c r="M26" s="160"/>
      <c r="N26" s="155"/>
      <c r="O26" s="154"/>
      <c r="P26" s="152" t="e">
        <f>'国民健康保険試算表 2'!T19</f>
        <v>#VALUE!</v>
      </c>
      <c r="Q26" s="153"/>
    </row>
    <row r="27" spans="1:17" ht="21" customHeight="1">
      <c r="A27" s="164"/>
      <c r="B27" s="167"/>
      <c r="C27" s="154"/>
      <c r="D27" s="156"/>
      <c r="E27" s="154"/>
      <c r="F27" s="156"/>
      <c r="G27" s="154"/>
      <c r="H27" s="155"/>
      <c r="I27" s="154"/>
      <c r="J27" s="155"/>
      <c r="K27" s="159"/>
      <c r="L27" s="151"/>
      <c r="M27" s="160"/>
      <c r="N27" s="155"/>
      <c r="O27" s="154"/>
      <c r="P27" s="153"/>
      <c r="Q27" s="153"/>
    </row>
    <row r="28" spans="1:17" ht="16.5" customHeight="1">
      <c r="A28" s="168" t="s">
        <v>34</v>
      </c>
      <c r="B28" s="166"/>
      <c r="C28" s="154"/>
      <c r="D28" s="156"/>
      <c r="E28" s="154"/>
      <c r="F28" s="156"/>
      <c r="G28" s="154"/>
      <c r="H28" s="155"/>
      <c r="I28" s="154"/>
      <c r="J28" s="155"/>
      <c r="K28" s="159"/>
      <c r="L28" s="118"/>
      <c r="M28" s="160"/>
      <c r="N28" s="155"/>
      <c r="O28" s="154"/>
      <c r="P28" s="152" t="e">
        <f>'国民健康保険試算表 2'!T20</f>
        <v>#VALUE!</v>
      </c>
      <c r="Q28" s="153"/>
    </row>
    <row r="29" spans="1:17" ht="25.5" customHeight="1">
      <c r="A29" s="164"/>
      <c r="B29" s="167"/>
      <c r="C29" s="154"/>
      <c r="D29" s="156"/>
      <c r="E29" s="154"/>
      <c r="F29" s="156"/>
      <c r="G29" s="154"/>
      <c r="H29" s="155"/>
      <c r="I29" s="154"/>
      <c r="J29" s="155"/>
      <c r="K29" s="159"/>
      <c r="L29" s="118"/>
      <c r="M29" s="160"/>
      <c r="N29" s="155"/>
      <c r="O29" s="154"/>
      <c r="P29" s="153"/>
      <c r="Q29" s="153"/>
    </row>
    <row r="31" spans="1:17" s="52" customFormat="1"/>
    <row r="33" spans="1:17" ht="17.25">
      <c r="A33" s="140" t="s">
        <v>140</v>
      </c>
    </row>
    <row r="35" spans="1:17" ht="54" customHeight="1">
      <c r="B35" s="139" t="s">
        <v>120</v>
      </c>
      <c r="D35" s="139" t="s">
        <v>121</v>
      </c>
      <c r="F35" s="139" t="s">
        <v>122</v>
      </c>
      <c r="H35" s="139" t="s">
        <v>123</v>
      </c>
      <c r="J35" s="139" t="s">
        <v>124</v>
      </c>
      <c r="L35" s="139" t="s">
        <v>125</v>
      </c>
      <c r="N35" s="139" t="s">
        <v>130</v>
      </c>
    </row>
    <row r="36" spans="1:17" ht="83.25" customHeight="1">
      <c r="A36" s="141" t="s">
        <v>77</v>
      </c>
      <c r="B36" s="133" t="s">
        <v>83</v>
      </c>
      <c r="D36" s="133" t="s">
        <v>119</v>
      </c>
      <c r="F36" s="133" t="s">
        <v>127</v>
      </c>
      <c r="H36" s="141" t="s">
        <v>139</v>
      </c>
      <c r="J36" s="142" t="s">
        <v>129</v>
      </c>
      <c r="L36" s="135" t="s">
        <v>134</v>
      </c>
      <c r="N36" s="137" t="s">
        <v>133</v>
      </c>
      <c r="P36" s="145" t="s">
        <v>126</v>
      </c>
      <c r="Q36" s="145"/>
    </row>
    <row r="37" spans="1:17">
      <c r="A37" s="149" t="s">
        <v>22</v>
      </c>
      <c r="B37" s="146">
        <v>10</v>
      </c>
      <c r="C37" s="143" t="s">
        <v>136</v>
      </c>
      <c r="D37" s="146">
        <v>10</v>
      </c>
      <c r="E37" s="143" t="s">
        <v>136</v>
      </c>
      <c r="F37" s="146"/>
      <c r="G37" s="143" t="s">
        <v>136</v>
      </c>
      <c r="H37" s="146">
        <v>2760000</v>
      </c>
      <c r="I37" s="143" t="s">
        <v>136</v>
      </c>
      <c r="J37" s="146"/>
      <c r="K37" s="143" t="s">
        <v>136</v>
      </c>
      <c r="L37" s="146">
        <v>1</v>
      </c>
      <c r="M37" s="143" t="s">
        <v>136</v>
      </c>
      <c r="N37" s="146">
        <v>0</v>
      </c>
      <c r="O37" s="143" t="s">
        <v>136</v>
      </c>
      <c r="P37" s="148">
        <v>270200</v>
      </c>
      <c r="Q37" s="148"/>
    </row>
    <row r="38" spans="1:17">
      <c r="A38" s="150"/>
      <c r="B38" s="147"/>
      <c r="C38" s="144"/>
      <c r="D38" s="147"/>
      <c r="E38" s="144"/>
      <c r="F38" s="147"/>
      <c r="G38" s="144"/>
      <c r="H38" s="147"/>
      <c r="I38" s="144"/>
      <c r="J38" s="147"/>
      <c r="K38" s="144"/>
      <c r="L38" s="147"/>
      <c r="M38" s="144"/>
      <c r="N38" s="147"/>
      <c r="O38" s="144"/>
      <c r="P38" s="148"/>
      <c r="Q38" s="148"/>
    </row>
  </sheetData>
  <sheetProtection sheet="1" objects="1" scenarios="1" selectLockedCells="1"/>
  <mergeCells count="101">
    <mergeCell ref="A28:A29"/>
    <mergeCell ref="B28:B29"/>
    <mergeCell ref="D28:D29"/>
    <mergeCell ref="F28:F29"/>
    <mergeCell ref="H28:H29"/>
    <mergeCell ref="J28:J29"/>
    <mergeCell ref="C14:C29"/>
    <mergeCell ref="E14:E29"/>
    <mergeCell ref="G14:G29"/>
    <mergeCell ref="I14:I29"/>
    <mergeCell ref="D26:D27"/>
    <mergeCell ref="F14:F15"/>
    <mergeCell ref="F16:F17"/>
    <mergeCell ref="F18:F19"/>
    <mergeCell ref="F20:F21"/>
    <mergeCell ref="F22:F23"/>
    <mergeCell ref="F24:F25"/>
    <mergeCell ref="D14:D15"/>
    <mergeCell ref="D16:D17"/>
    <mergeCell ref="D18:D19"/>
    <mergeCell ref="D20:D21"/>
    <mergeCell ref="H18:H19"/>
    <mergeCell ref="H20:H21"/>
    <mergeCell ref="H22:H23"/>
    <mergeCell ref="H24:H25"/>
    <mergeCell ref="H26:H27"/>
    <mergeCell ref="A26:A27"/>
    <mergeCell ref="B14:B15"/>
    <mergeCell ref="B16:B17"/>
    <mergeCell ref="B18:B19"/>
    <mergeCell ref="B20:B21"/>
    <mergeCell ref="B22:B23"/>
    <mergeCell ref="B24:B25"/>
    <mergeCell ref="B26:B27"/>
    <mergeCell ref="A14:A15"/>
    <mergeCell ref="A16:A17"/>
    <mergeCell ref="A18:A19"/>
    <mergeCell ref="A20:A21"/>
    <mergeCell ref="A22:A23"/>
    <mergeCell ref="A24:A25"/>
    <mergeCell ref="P13:Q13"/>
    <mergeCell ref="P14:Q15"/>
    <mergeCell ref="P16:Q17"/>
    <mergeCell ref="P18:Q19"/>
    <mergeCell ref="P20:Q21"/>
    <mergeCell ref="B11:B12"/>
    <mergeCell ref="D11:D12"/>
    <mergeCell ref="F11:F12"/>
    <mergeCell ref="H11:H12"/>
    <mergeCell ref="J11:J12"/>
    <mergeCell ref="N11:N12"/>
    <mergeCell ref="L11:L12"/>
    <mergeCell ref="N14:N15"/>
    <mergeCell ref="N16:N17"/>
    <mergeCell ref="N18:N19"/>
    <mergeCell ref="N20:N21"/>
    <mergeCell ref="K14:K29"/>
    <mergeCell ref="N28:N29"/>
    <mergeCell ref="M14:M29"/>
    <mergeCell ref="L18:L19"/>
    <mergeCell ref="L20:L21"/>
    <mergeCell ref="J14:J15"/>
    <mergeCell ref="J16:J17"/>
    <mergeCell ref="J18:J19"/>
    <mergeCell ref="A37:A38"/>
    <mergeCell ref="B37:B38"/>
    <mergeCell ref="D37:D38"/>
    <mergeCell ref="C37:C38"/>
    <mergeCell ref="L22:L23"/>
    <mergeCell ref="L24:L25"/>
    <mergeCell ref="L26:L27"/>
    <mergeCell ref="P22:Q23"/>
    <mergeCell ref="P24:Q25"/>
    <mergeCell ref="P26:Q27"/>
    <mergeCell ref="O14:O29"/>
    <mergeCell ref="P28:Q29"/>
    <mergeCell ref="J24:J25"/>
    <mergeCell ref="J26:J27"/>
    <mergeCell ref="N22:N23"/>
    <mergeCell ref="N24:N25"/>
    <mergeCell ref="N26:N27"/>
    <mergeCell ref="J20:J21"/>
    <mergeCell ref="J22:J23"/>
    <mergeCell ref="D22:D23"/>
    <mergeCell ref="D24:D25"/>
    <mergeCell ref="F26:F27"/>
    <mergeCell ref="H14:H15"/>
    <mergeCell ref="H16:H17"/>
    <mergeCell ref="E37:E38"/>
    <mergeCell ref="G37:G38"/>
    <mergeCell ref="I37:I38"/>
    <mergeCell ref="K37:K38"/>
    <mergeCell ref="M37:M38"/>
    <mergeCell ref="P36:Q36"/>
    <mergeCell ref="F37:F38"/>
    <mergeCell ref="H37:H38"/>
    <mergeCell ref="J37:J38"/>
    <mergeCell ref="L37:L38"/>
    <mergeCell ref="N37:N38"/>
    <mergeCell ref="P37:Q38"/>
    <mergeCell ref="O37:O38"/>
  </mergeCells>
  <phoneticPr fontId="1"/>
  <pageMargins left="0.7" right="0.7" top="0.75" bottom="0.75" header="0.3" footer="0.3"/>
  <pageSetup paperSize="8" scale="91"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EE503-7173-4085-A892-C38F44BDB242}">
  <sheetPr>
    <tabColor indexed="17"/>
  </sheetPr>
  <dimension ref="A1:T49"/>
  <sheetViews>
    <sheetView view="pageBreakPreview" topLeftCell="A4" zoomScale="70" zoomScaleNormal="85" zoomScaleSheetLayoutView="70" workbookViewId="0">
      <selection activeCell="B16" sqref="B16"/>
    </sheetView>
  </sheetViews>
  <sheetFormatPr defaultRowHeight="13.5"/>
  <cols>
    <col min="1" max="1" width="8" style="1" customWidth="1"/>
    <col min="2" max="2" width="12.625" style="1" customWidth="1"/>
    <col min="3" max="5" width="10" style="1" customWidth="1"/>
    <col min="6" max="6" width="9.25" style="1" bestFit="1" customWidth="1"/>
    <col min="7" max="7" width="10.375" style="1" customWidth="1"/>
    <col min="8" max="8" width="9.75" style="1" customWidth="1"/>
    <col min="9" max="9" width="9.875" style="1" customWidth="1"/>
    <col min="10" max="10" width="9.75" style="1" customWidth="1"/>
    <col min="11" max="11" width="10.25" style="1" customWidth="1"/>
    <col min="12" max="12" width="9.5" style="1" customWidth="1"/>
    <col min="13" max="15" width="9" style="1" customWidth="1"/>
    <col min="16" max="16" width="9.5" style="1" customWidth="1"/>
    <col min="17" max="17" width="9" style="1" customWidth="1"/>
    <col min="18" max="18" width="11.25" style="1" bestFit="1" customWidth="1"/>
    <col min="19" max="19" width="10.25" style="1" bestFit="1" customWidth="1"/>
    <col min="20" max="20" width="10.375" style="1" customWidth="1"/>
    <col min="21" max="16384" width="9" style="1"/>
  </cols>
  <sheetData>
    <row r="1" spans="1:20" ht="90.75" customHeight="1">
      <c r="A1" s="4" t="s">
        <v>79</v>
      </c>
      <c r="B1" s="21"/>
    </row>
    <row r="2" spans="1:20" ht="14.25" customHeight="1">
      <c r="A2" s="5" t="s">
        <v>74</v>
      </c>
      <c r="B2" s="22" t="s">
        <v>58</v>
      </c>
      <c r="C2" s="37" t="s">
        <v>50</v>
      </c>
      <c r="D2" s="22" t="s">
        <v>75</v>
      </c>
    </row>
    <row r="3" spans="1:20" ht="14.25" customHeight="1" thickBot="1">
      <c r="A3" s="6"/>
      <c r="B3" s="23"/>
      <c r="C3" s="38"/>
      <c r="D3" s="44"/>
    </row>
    <row r="4" spans="1:20">
      <c r="A4" s="7" t="s">
        <v>76</v>
      </c>
      <c r="B4" s="24" t="s">
        <v>59</v>
      </c>
      <c r="C4" s="24" t="s">
        <v>64</v>
      </c>
      <c r="D4" s="45" t="s">
        <v>46</v>
      </c>
      <c r="O4" s="92"/>
      <c r="P4" s="118"/>
      <c r="Q4" s="118"/>
      <c r="R4" s="118"/>
      <c r="S4" s="118"/>
      <c r="T4" s="118"/>
    </row>
    <row r="5" spans="1:20">
      <c r="A5" s="8" t="s">
        <v>8</v>
      </c>
      <c r="B5" s="25">
        <v>7.4499999999999997E-2</v>
      </c>
      <c r="C5" s="25">
        <v>2.8000000000000001E-2</v>
      </c>
      <c r="D5" s="46">
        <v>2.5999999999999999E-2</v>
      </c>
      <c r="E5" s="51"/>
      <c r="O5" s="92"/>
      <c r="P5" s="118"/>
      <c r="Q5" s="118"/>
      <c r="R5" s="118"/>
      <c r="S5" s="118"/>
      <c r="T5" s="118"/>
    </row>
    <row r="6" spans="1:20">
      <c r="A6" s="8" t="s">
        <v>10</v>
      </c>
      <c r="B6" s="26">
        <v>23000</v>
      </c>
      <c r="C6" s="26">
        <v>12300</v>
      </c>
      <c r="D6" s="47">
        <v>14600</v>
      </c>
      <c r="F6" s="55" t="s">
        <v>98</v>
      </c>
      <c r="I6" s="52"/>
      <c r="O6" s="92"/>
      <c r="P6" s="118"/>
      <c r="Q6" s="118"/>
      <c r="R6" s="118"/>
      <c r="S6" s="118"/>
      <c r="T6" s="118"/>
    </row>
    <row r="7" spans="1:20">
      <c r="A7" s="8" t="s">
        <v>6</v>
      </c>
      <c r="B7" s="26">
        <v>16400</v>
      </c>
      <c r="C7" s="39"/>
      <c r="D7" s="48"/>
      <c r="F7" s="56"/>
      <c r="G7" s="61" t="s">
        <v>78</v>
      </c>
      <c r="H7" s="61" t="s">
        <v>93</v>
      </c>
      <c r="I7" s="52"/>
      <c r="O7" s="92"/>
      <c r="P7" s="118"/>
      <c r="Q7" s="118"/>
      <c r="R7" s="118"/>
      <c r="S7" s="118"/>
      <c r="T7" s="118"/>
    </row>
    <row r="8" spans="1:20" ht="14.25" customHeight="1" thickBot="1">
      <c r="A8" s="9" t="s">
        <v>66</v>
      </c>
      <c r="B8" s="27">
        <v>660000</v>
      </c>
      <c r="C8" s="27">
        <v>260000</v>
      </c>
      <c r="D8" s="49">
        <v>170000</v>
      </c>
      <c r="F8" s="57" t="s">
        <v>72</v>
      </c>
      <c r="G8" s="5">
        <v>0</v>
      </c>
      <c r="H8" s="36">
        <f>G8*0.3</f>
        <v>0</v>
      </c>
      <c r="I8" s="66" t="s">
        <v>96</v>
      </c>
      <c r="O8" s="126" t="s">
        <v>111</v>
      </c>
      <c r="P8" s="126"/>
      <c r="Q8" s="126"/>
      <c r="R8" s="118"/>
      <c r="S8" s="118"/>
      <c r="T8" s="118"/>
    </row>
    <row r="9" spans="1:20" ht="14.25" customHeight="1" thickBot="1">
      <c r="A9" s="10"/>
      <c r="B9" s="28" t="s">
        <v>100</v>
      </c>
      <c r="C9" s="28"/>
      <c r="D9" s="28"/>
      <c r="F9" s="57" t="s">
        <v>99</v>
      </c>
      <c r="G9" s="5">
        <v>0</v>
      </c>
      <c r="H9" s="58">
        <f>G9</f>
        <v>0</v>
      </c>
      <c r="I9" s="66" t="s">
        <v>97</v>
      </c>
      <c r="O9" s="126"/>
      <c r="P9" s="126"/>
      <c r="Q9" s="126"/>
      <c r="R9" s="118"/>
      <c r="S9" s="118"/>
      <c r="T9" s="118"/>
    </row>
    <row r="10" spans="1:20" ht="14.25" customHeight="1" thickBot="1">
      <c r="F10" s="57" t="s">
        <v>92</v>
      </c>
      <c r="G10" s="62">
        <f>SUM(G8:G9)</f>
        <v>0</v>
      </c>
      <c r="H10" s="64">
        <f>SUM(H8:H9)</f>
        <v>0</v>
      </c>
      <c r="I10" s="67"/>
      <c r="O10" s="126" t="s">
        <v>117</v>
      </c>
      <c r="P10" s="126"/>
      <c r="Q10" s="126"/>
      <c r="R10" s="126"/>
      <c r="S10" s="118"/>
      <c r="T10" s="118"/>
    </row>
    <row r="11" spans="1:20" ht="18" thickBot="1">
      <c r="A11" s="11"/>
      <c r="B11" s="29"/>
      <c r="C11" s="40"/>
      <c r="D11" s="50"/>
      <c r="E11" s="52"/>
      <c r="O11" s="127" t="s">
        <v>112</v>
      </c>
      <c r="P11" s="127"/>
      <c r="Q11" s="127"/>
      <c r="R11" s="127"/>
      <c r="S11" s="118"/>
      <c r="T11" s="118"/>
    </row>
    <row r="12" spans="1:20" s="2" customFormat="1" ht="40.5" customHeight="1">
      <c r="A12" s="12" t="s">
        <v>77</v>
      </c>
      <c r="B12" s="30" t="s">
        <v>83</v>
      </c>
      <c r="C12" s="30" t="s">
        <v>73</v>
      </c>
      <c r="D12" s="30" t="s">
        <v>103</v>
      </c>
      <c r="E12" s="30" t="s">
        <v>92</v>
      </c>
      <c r="F12" s="53" t="s">
        <v>35</v>
      </c>
      <c r="G12" s="30" t="s">
        <v>80</v>
      </c>
      <c r="H12" s="30" t="s">
        <v>69</v>
      </c>
      <c r="I12" s="53" t="s">
        <v>36</v>
      </c>
      <c r="J12" s="30" t="s">
        <v>16</v>
      </c>
      <c r="K12" s="30" t="s">
        <v>14</v>
      </c>
      <c r="L12" s="53" t="s">
        <v>33</v>
      </c>
      <c r="M12" s="172" t="s">
        <v>7</v>
      </c>
      <c r="N12" s="174" t="s">
        <v>141</v>
      </c>
      <c r="O12" s="173"/>
      <c r="P12" s="128" t="s">
        <v>113</v>
      </c>
      <c r="Q12" s="128" t="s">
        <v>114</v>
      </c>
      <c r="R12" s="128" t="s">
        <v>115</v>
      </c>
      <c r="S12" s="109" t="s">
        <v>107</v>
      </c>
      <c r="T12" s="124" t="s">
        <v>48</v>
      </c>
    </row>
    <row r="13" spans="1:20">
      <c r="A13" s="13" t="s">
        <v>22</v>
      </c>
      <c r="B13" s="31" t="str">
        <f>IF(国保試算用入力シート!B14&gt;0,国保試算用入力シート!B14,"")</f>
        <v/>
      </c>
      <c r="C13" s="31">
        <f>国保試算用入力シート!D14</f>
        <v>0</v>
      </c>
      <c r="D13" s="88">
        <f>国保試算用入力シート!F14</f>
        <v>0</v>
      </c>
      <c r="E13" s="31">
        <f>国保試算用入力シート!H14</f>
        <v>0</v>
      </c>
      <c r="F13" s="31">
        <f>国保試算用入力シート!J14</f>
        <v>0</v>
      </c>
      <c r="G13" s="36">
        <f t="shared" ref="G13:G16" si="0">F13-H13</f>
        <v>0</v>
      </c>
      <c r="H13" s="36">
        <f t="shared" ref="H13:H16" si="1">IF(F13&gt;150000,150000,F13)</f>
        <v>0</v>
      </c>
      <c r="I13" s="31">
        <f>国保試算用入力シート!N14</f>
        <v>0</v>
      </c>
      <c r="J13" s="36">
        <f>IF(E13-H13+I13&gt;0,E13-H13+I13,0)</f>
        <v>0</v>
      </c>
      <c r="K13" s="36">
        <f>IF(E13&gt;430000,E13-430000,0)</f>
        <v>0</v>
      </c>
      <c r="L13" s="31"/>
      <c r="M13" s="62">
        <f t="shared" ref="M13:M20" si="2">K13+L13</f>
        <v>0</v>
      </c>
      <c r="N13" s="171" t="str">
        <f>IF(B13&lt;C13,"ERROR","　　")</f>
        <v>　　</v>
      </c>
      <c r="O13" s="92" t="s">
        <v>22</v>
      </c>
      <c r="P13" s="10" t="e">
        <f>C26+F26-N26</f>
        <v>#VALUE!</v>
      </c>
      <c r="Q13" s="10" t="e">
        <f>D26+H26-O26</f>
        <v>#VALUE!</v>
      </c>
      <c r="R13" s="10">
        <f>E26+J26-P26</f>
        <v>0</v>
      </c>
      <c r="S13" s="94" t="e">
        <f t="shared" ref="S13:S20" si="3">SUM(P13:R13)</f>
        <v>#VALUE!</v>
      </c>
      <c r="T13" s="69" t="e">
        <f t="shared" ref="T13:T20" si="4">ROUNDDOWN(S13,-2)</f>
        <v>#VALUE!</v>
      </c>
    </row>
    <row r="14" spans="1:20">
      <c r="A14" s="13" t="s">
        <v>26</v>
      </c>
      <c r="B14" s="31" t="str">
        <f>IF(国保試算用入力シート!B16&gt;0,国保試算用入力シート!B16,"")</f>
        <v/>
      </c>
      <c r="C14" s="31">
        <f>国保試算用入力シート!D16</f>
        <v>0</v>
      </c>
      <c r="D14" s="88">
        <f>国保試算用入力シート!F16</f>
        <v>0</v>
      </c>
      <c r="E14" s="31">
        <f>国保試算用入力シート!H16</f>
        <v>0</v>
      </c>
      <c r="F14" s="31">
        <f>国保試算用入力シート!J16</f>
        <v>0</v>
      </c>
      <c r="G14" s="36">
        <f t="shared" si="0"/>
        <v>0</v>
      </c>
      <c r="H14" s="36">
        <f t="shared" si="1"/>
        <v>0</v>
      </c>
      <c r="I14" s="31">
        <f>国保試算用入力シート!N16</f>
        <v>0</v>
      </c>
      <c r="J14" s="36">
        <f>IF(E14-H14+I14&gt;0,E14-H14+I14,0)</f>
        <v>0</v>
      </c>
      <c r="K14" s="36">
        <f>IF(E14&gt;430000,E14-430000,0)</f>
        <v>0</v>
      </c>
      <c r="L14" s="31"/>
      <c r="M14" s="62">
        <f t="shared" si="2"/>
        <v>0</v>
      </c>
      <c r="N14" s="171" t="str">
        <f>IF(B14&lt;C14,"ERROR","　　")</f>
        <v>　　</v>
      </c>
      <c r="O14" s="92" t="s">
        <v>26</v>
      </c>
      <c r="P14" s="10" t="e">
        <f>C27+F27-G27-N27</f>
        <v>#VALUE!</v>
      </c>
      <c r="Q14" s="10" t="e">
        <f>D27+H27-I27-O27</f>
        <v>#VALUE!</v>
      </c>
      <c r="R14" s="10">
        <f>E27+J27-P27</f>
        <v>0</v>
      </c>
      <c r="S14" s="94" t="e">
        <f t="shared" si="3"/>
        <v>#VALUE!</v>
      </c>
      <c r="T14" s="69" t="e">
        <f t="shared" si="4"/>
        <v>#VALUE!</v>
      </c>
    </row>
    <row r="15" spans="1:20">
      <c r="A15" s="13" t="s">
        <v>28</v>
      </c>
      <c r="B15" s="31" t="str">
        <f>IF(国保試算用入力シート!B18&gt;0,国保試算用入力シート!B18,"")</f>
        <v/>
      </c>
      <c r="C15" s="31">
        <f>国保試算用入力シート!D18</f>
        <v>0</v>
      </c>
      <c r="D15" s="88">
        <f>国保試算用入力シート!F18</f>
        <v>0</v>
      </c>
      <c r="E15" s="31">
        <f>国保試算用入力シート!H18</f>
        <v>0</v>
      </c>
      <c r="F15" s="31">
        <f>国保試算用入力シート!J18</f>
        <v>0</v>
      </c>
      <c r="G15" s="36">
        <f t="shared" si="0"/>
        <v>0</v>
      </c>
      <c r="H15" s="36">
        <f t="shared" si="1"/>
        <v>0</v>
      </c>
      <c r="I15" s="31">
        <f>国保試算用入力シート!N18</f>
        <v>0</v>
      </c>
      <c r="J15" s="36">
        <f t="shared" ref="J15:J17" si="5">IF(E15-H15+I15&gt;0,E15-H15+I15,0)</f>
        <v>0</v>
      </c>
      <c r="K15" s="36">
        <f t="shared" ref="K15:K17" si="6">IF(E15&gt;430000,E15-430000,0)</f>
        <v>0</v>
      </c>
      <c r="L15" s="31"/>
      <c r="M15" s="62">
        <f>K15+L15</f>
        <v>0</v>
      </c>
      <c r="N15" s="171" t="str">
        <f>IF(B15&lt;C15,"ERROR","　　")</f>
        <v>　　</v>
      </c>
      <c r="O15" s="92" t="s">
        <v>28</v>
      </c>
      <c r="P15" s="10" t="e">
        <f>C28+F28-G28-N28</f>
        <v>#VALUE!</v>
      </c>
      <c r="Q15" s="10" t="e">
        <f>D28+H28-I28-O28</f>
        <v>#VALUE!</v>
      </c>
      <c r="R15" s="10">
        <f>E28+J28-P28</f>
        <v>0</v>
      </c>
      <c r="S15" s="94" t="e">
        <f t="shared" si="3"/>
        <v>#VALUE!</v>
      </c>
      <c r="T15" s="69" t="e">
        <f t="shared" si="4"/>
        <v>#VALUE!</v>
      </c>
    </row>
    <row r="16" spans="1:20">
      <c r="A16" s="13" t="s">
        <v>30</v>
      </c>
      <c r="B16" s="31" t="str">
        <f>IF(国保試算用入力シート!B20&gt;0,国保試算用入力シート!B20,"")</f>
        <v/>
      </c>
      <c r="C16" s="31">
        <f>国保試算用入力シート!D20</f>
        <v>0</v>
      </c>
      <c r="D16" s="88">
        <f>国保試算用入力シート!F20</f>
        <v>0</v>
      </c>
      <c r="E16" s="31">
        <f>国保試算用入力シート!H20</f>
        <v>0</v>
      </c>
      <c r="F16" s="31">
        <f>国保試算用入力シート!J20</f>
        <v>0</v>
      </c>
      <c r="G16" s="36">
        <f t="shared" si="0"/>
        <v>0</v>
      </c>
      <c r="H16" s="36">
        <f t="shared" si="1"/>
        <v>0</v>
      </c>
      <c r="I16" s="31">
        <f>国保試算用入力シート!N20</f>
        <v>0</v>
      </c>
      <c r="J16" s="36">
        <f t="shared" si="5"/>
        <v>0</v>
      </c>
      <c r="K16" s="36">
        <f t="shared" si="6"/>
        <v>0</v>
      </c>
      <c r="L16" s="31"/>
      <c r="M16" s="62">
        <f t="shared" si="2"/>
        <v>0</v>
      </c>
      <c r="N16" s="171" t="str">
        <f>IF(B16&lt;C16,"ERROR","　　")</f>
        <v>　　</v>
      </c>
      <c r="O16" s="92" t="s">
        <v>30</v>
      </c>
      <c r="P16" s="10" t="e">
        <f>C29+F29-G29-N29</f>
        <v>#VALUE!</v>
      </c>
      <c r="Q16" s="10" t="e">
        <f>D29+H29-I29-O29</f>
        <v>#VALUE!</v>
      </c>
      <c r="R16" s="10">
        <f>E29+J29-P29</f>
        <v>0</v>
      </c>
      <c r="S16" s="94" t="e">
        <f>SUM(P16:R16)</f>
        <v>#VALUE!</v>
      </c>
      <c r="T16" s="69" t="e">
        <f>ROUNDDOWN(S16,-2)</f>
        <v>#VALUE!</v>
      </c>
    </row>
    <row r="17" spans="1:20">
      <c r="A17" s="13" t="s">
        <v>31</v>
      </c>
      <c r="B17" s="31" t="str">
        <f>IF(国保試算用入力シート!B22&gt;0,国保試算用入力シート!B22,"")</f>
        <v/>
      </c>
      <c r="C17" s="31">
        <f>国保試算用入力シート!D22</f>
        <v>0</v>
      </c>
      <c r="D17" s="88">
        <f>国保試算用入力シート!F22</f>
        <v>0</v>
      </c>
      <c r="E17" s="31">
        <f>国保試算用入力シート!H22</f>
        <v>0</v>
      </c>
      <c r="F17" s="31">
        <f>国保試算用入力シート!J22</f>
        <v>0</v>
      </c>
      <c r="G17" s="36">
        <f t="shared" ref="G17:G20" si="7">F17-H17</f>
        <v>0</v>
      </c>
      <c r="H17" s="36">
        <f t="shared" ref="H17:H20" si="8">IF(F17&gt;150000,150000,F17)</f>
        <v>0</v>
      </c>
      <c r="I17" s="31">
        <f>国保試算用入力シート!N22</f>
        <v>0</v>
      </c>
      <c r="J17" s="36">
        <f t="shared" si="5"/>
        <v>0</v>
      </c>
      <c r="K17" s="36">
        <f t="shared" si="6"/>
        <v>0</v>
      </c>
      <c r="L17" s="31"/>
      <c r="M17" s="62">
        <f t="shared" si="2"/>
        <v>0</v>
      </c>
      <c r="N17" s="171" t="str">
        <f>IF(B17&lt;C17,"ERROR","　　")</f>
        <v>　　</v>
      </c>
      <c r="O17" s="92" t="s">
        <v>31</v>
      </c>
      <c r="P17" s="10" t="e">
        <f>C30+F30-G30-N30</f>
        <v>#VALUE!</v>
      </c>
      <c r="Q17" s="10" t="e">
        <f>D30+H30-I30-O30</f>
        <v>#VALUE!</v>
      </c>
      <c r="R17" s="10">
        <f>E30+J30-P30</f>
        <v>0</v>
      </c>
      <c r="S17" s="94" t="e">
        <f t="shared" si="3"/>
        <v>#VALUE!</v>
      </c>
      <c r="T17" s="69" t="e">
        <f t="shared" si="4"/>
        <v>#VALUE!</v>
      </c>
    </row>
    <row r="18" spans="1:20">
      <c r="A18" s="13" t="s">
        <v>32</v>
      </c>
      <c r="B18" s="31" t="str">
        <f>IF(国保試算用入力シート!B24&gt;0,国保試算用入力シート!B22,"")</f>
        <v/>
      </c>
      <c r="C18" s="31">
        <f>国保試算用入力シート!D24</f>
        <v>0</v>
      </c>
      <c r="D18" s="88">
        <f>国保試算用入力シート!F24</f>
        <v>0</v>
      </c>
      <c r="E18" s="31">
        <f>国保試算用入力シート!H24</f>
        <v>0</v>
      </c>
      <c r="F18" s="31">
        <f>国保試算用入力シート!J24</f>
        <v>0</v>
      </c>
      <c r="G18" s="36">
        <f t="shared" si="7"/>
        <v>0</v>
      </c>
      <c r="H18" s="36">
        <f t="shared" si="8"/>
        <v>0</v>
      </c>
      <c r="I18" s="31">
        <f>国保試算用入力シート!N24</f>
        <v>0</v>
      </c>
      <c r="J18" s="36">
        <f t="shared" ref="J18:J20" si="9">IF(E18-H18+I18&gt;0,E18-H18+I18,0)</f>
        <v>0</v>
      </c>
      <c r="K18" s="36">
        <f t="shared" ref="K18:K20" si="10">IF(E18&gt;430000,E18-430000,0)</f>
        <v>0</v>
      </c>
      <c r="L18" s="31"/>
      <c r="M18" s="62">
        <f t="shared" si="2"/>
        <v>0</v>
      </c>
      <c r="N18" s="171" t="str">
        <f>IF(B18&lt;C18,"ERROR","　　")</f>
        <v>　　</v>
      </c>
      <c r="O18" s="92" t="s">
        <v>32</v>
      </c>
      <c r="P18" s="10" t="e">
        <f>C31+F31-G31-N31</f>
        <v>#VALUE!</v>
      </c>
      <c r="Q18" s="10" t="e">
        <f>D31+H31-I31-O31</f>
        <v>#VALUE!</v>
      </c>
      <c r="R18" s="10">
        <f>E31+J31-P31</f>
        <v>0</v>
      </c>
      <c r="S18" s="94" t="e">
        <f t="shared" si="3"/>
        <v>#VALUE!</v>
      </c>
      <c r="T18" s="69" t="e">
        <f t="shared" si="4"/>
        <v>#VALUE!</v>
      </c>
    </row>
    <row r="19" spans="1:20">
      <c r="A19" s="13" t="s">
        <v>5</v>
      </c>
      <c r="B19" s="31" t="str">
        <f>IF(国保試算用入力シート!B26&gt;0,国保試算用入力シート!B26,"")</f>
        <v/>
      </c>
      <c r="C19" s="31">
        <f>国保試算用入力シート!D26</f>
        <v>0</v>
      </c>
      <c r="D19" s="88">
        <f>国保試算用入力シート!F26</f>
        <v>0</v>
      </c>
      <c r="E19" s="31">
        <f>国保試算用入力シート!H26</f>
        <v>0</v>
      </c>
      <c r="F19" s="31">
        <f>国保試算用入力シート!J26</f>
        <v>0</v>
      </c>
      <c r="G19" s="36">
        <f t="shared" si="7"/>
        <v>0</v>
      </c>
      <c r="H19" s="36">
        <f t="shared" si="8"/>
        <v>0</v>
      </c>
      <c r="I19" s="31">
        <f>国保試算用入力シート!N26</f>
        <v>0</v>
      </c>
      <c r="J19" s="36">
        <f t="shared" si="9"/>
        <v>0</v>
      </c>
      <c r="K19" s="36">
        <f t="shared" si="10"/>
        <v>0</v>
      </c>
      <c r="L19" s="31"/>
      <c r="M19" s="62">
        <f t="shared" si="2"/>
        <v>0</v>
      </c>
      <c r="N19" s="171" t="str">
        <f>IF(B19&lt;C19,"ERROR","　　")</f>
        <v>　　</v>
      </c>
      <c r="O19" s="92" t="s">
        <v>5</v>
      </c>
      <c r="P19" s="10" t="e">
        <f>C32+F32-G32-N32</f>
        <v>#VALUE!</v>
      </c>
      <c r="Q19" s="10" t="e">
        <f>D32+H32-I32-O32</f>
        <v>#VALUE!</v>
      </c>
      <c r="R19" s="10">
        <f>E32+J32-P32</f>
        <v>0</v>
      </c>
      <c r="S19" s="94" t="e">
        <f t="shared" si="3"/>
        <v>#VALUE!</v>
      </c>
      <c r="T19" s="69" t="e">
        <f t="shared" si="4"/>
        <v>#VALUE!</v>
      </c>
    </row>
    <row r="20" spans="1:20" ht="14.25" thickBot="1">
      <c r="A20" s="14" t="s">
        <v>44</v>
      </c>
      <c r="B20" s="31" t="str">
        <f>IF(国保試算用入力シート!B28&gt;0,国保試算用入力シート!B28,"")</f>
        <v/>
      </c>
      <c r="C20" s="31">
        <f>国保試算用入力シート!D28</f>
        <v>0</v>
      </c>
      <c r="D20" s="88">
        <f>国保試算用入力シート!F28</f>
        <v>0</v>
      </c>
      <c r="E20" s="31">
        <f>国保試算用入力シート!H28</f>
        <v>0</v>
      </c>
      <c r="F20" s="31">
        <f>国保試算用入力シート!J28</f>
        <v>0</v>
      </c>
      <c r="G20" s="36">
        <f t="shared" si="7"/>
        <v>0</v>
      </c>
      <c r="H20" s="36">
        <f t="shared" si="8"/>
        <v>0</v>
      </c>
      <c r="I20" s="31">
        <f>国保試算用入力シート!N28</f>
        <v>0</v>
      </c>
      <c r="J20" s="36">
        <f t="shared" si="9"/>
        <v>0</v>
      </c>
      <c r="K20" s="36">
        <f t="shared" si="10"/>
        <v>0</v>
      </c>
      <c r="L20" s="32"/>
      <c r="M20" s="62">
        <f t="shared" si="2"/>
        <v>0</v>
      </c>
      <c r="N20" s="171" t="str">
        <f>IF(B20&lt;C20,"ERROR","　　")</f>
        <v>　　</v>
      </c>
      <c r="O20" s="92" t="s">
        <v>44</v>
      </c>
      <c r="P20" s="10" t="e">
        <f>C33+F33-G33-N33</f>
        <v>#VALUE!</v>
      </c>
      <c r="Q20" s="10" t="e">
        <f>D33+H33-I33-O33</f>
        <v>#VALUE!</v>
      </c>
      <c r="R20" s="10">
        <f>E33+J33-P33</f>
        <v>0</v>
      </c>
      <c r="S20" s="94" t="e">
        <f t="shared" si="3"/>
        <v>#VALUE!</v>
      </c>
      <c r="T20" s="69" t="e">
        <f t="shared" si="4"/>
        <v>#VALUE!</v>
      </c>
    </row>
    <row r="21" spans="1:20" ht="19.5" customHeight="1" thickBot="1">
      <c r="A21" s="91" t="s">
        <v>11</v>
      </c>
      <c r="B21" s="33">
        <v>0</v>
      </c>
      <c r="C21" s="169" t="s">
        <v>101</v>
      </c>
      <c r="D21" s="170"/>
      <c r="E21" s="33">
        <f>国保試算用入力シート!L20</f>
        <v>0</v>
      </c>
      <c r="G21" s="63"/>
      <c r="I21" s="1">
        <f>SUM(J13:J20)</f>
        <v>0</v>
      </c>
      <c r="J21" s="63"/>
      <c r="L21" s="75"/>
      <c r="O21" s="113" t="s">
        <v>56</v>
      </c>
      <c r="P21" s="120" t="e">
        <f>SUM(P13:P20)</f>
        <v>#VALUE!</v>
      </c>
      <c r="Q21" s="120" t="e">
        <f>SUM(Q13:Q20)</f>
        <v>#VALUE!</v>
      </c>
      <c r="R21" s="120">
        <f>SUM(R13:R20)</f>
        <v>0</v>
      </c>
      <c r="S21" s="121" t="e">
        <f>IF(P21+Q21+R21=S13+S14+S15+S16+S17+S18+S19+S20,P21+Q21+R21,FALSE)</f>
        <v>#VALUE!</v>
      </c>
      <c r="T21" s="122" t="e">
        <f>SUM(T13:T20)</f>
        <v>#VALUE!</v>
      </c>
    </row>
    <row r="22" spans="1:20" ht="11.25" customHeight="1">
      <c r="B22" s="34">
        <f>COUNT(B13:B20)</f>
        <v>0</v>
      </c>
      <c r="C22" s="41" t="s">
        <v>70</v>
      </c>
      <c r="O22" s="67"/>
      <c r="P22" s="118"/>
      <c r="Q22" s="118"/>
      <c r="R22" s="94" t="s">
        <v>110</v>
      </c>
      <c r="S22" s="119">
        <f>(D44*B24/12)</f>
        <v>0</v>
      </c>
      <c r="T22" s="125">
        <f>(D44*B24/12)</f>
        <v>0</v>
      </c>
    </row>
    <row r="23" spans="1:20" ht="11.25" customHeight="1" thickBot="1">
      <c r="A23" s="15" t="s">
        <v>38</v>
      </c>
      <c r="B23" s="34">
        <f>IF(B13=0,COUNT(B14:B20),COUNT(B13:B20))</f>
        <v>0</v>
      </c>
      <c r="C23" s="41" t="s">
        <v>71</v>
      </c>
      <c r="O23" s="123"/>
      <c r="P23" s="29"/>
      <c r="Q23" s="29"/>
      <c r="R23" s="29"/>
      <c r="S23" s="129" t="s">
        <v>116</v>
      </c>
      <c r="T23" s="117" t="e">
        <f>ROUNDDOWN(T21+T22,-2)</f>
        <v>#VALUE!</v>
      </c>
    </row>
    <row r="24" spans="1:20" ht="11.25" customHeight="1">
      <c r="A24" s="16">
        <f>IF(B21=0,軽減判定計算シート!G7,0)</f>
        <v>0.70000000000000007</v>
      </c>
      <c r="B24" s="34">
        <f>MAX(B13:B20)</f>
        <v>0</v>
      </c>
      <c r="C24" s="42"/>
      <c r="K24" s="1" t="s">
        <v>65</v>
      </c>
      <c r="O24" s="52"/>
      <c r="P24" s="52"/>
      <c r="Q24" s="52"/>
      <c r="R24" s="52"/>
      <c r="S24" s="52"/>
      <c r="T24" s="52"/>
    </row>
    <row r="25" spans="1:20" s="3" customFormat="1" ht="27" customHeight="1">
      <c r="A25" s="17" t="s">
        <v>21</v>
      </c>
      <c r="B25" s="17" t="s">
        <v>14</v>
      </c>
      <c r="C25" s="17" t="s">
        <v>13</v>
      </c>
      <c r="D25" s="17" t="s">
        <v>15</v>
      </c>
      <c r="E25" s="17" t="s">
        <v>4</v>
      </c>
      <c r="F25" s="17" t="s">
        <v>20</v>
      </c>
      <c r="G25" s="86" t="s">
        <v>105</v>
      </c>
      <c r="H25" s="17" t="s">
        <v>19</v>
      </c>
      <c r="I25" s="86" t="s">
        <v>104</v>
      </c>
      <c r="J25" s="17" t="s">
        <v>0</v>
      </c>
      <c r="K25" s="17" t="s">
        <v>48</v>
      </c>
      <c r="N25" s="3" t="s">
        <v>53</v>
      </c>
      <c r="O25" s="3" t="s">
        <v>47</v>
      </c>
      <c r="P25" s="3" t="s">
        <v>54</v>
      </c>
      <c r="Q25" s="105" t="s">
        <v>107</v>
      </c>
    </row>
    <row r="26" spans="1:20" ht="12.75" customHeight="1">
      <c r="A26" s="1" t="s">
        <v>22</v>
      </c>
      <c r="B26" s="1">
        <f>IF(B13=0,0,M13)</f>
        <v>0</v>
      </c>
      <c r="C26" s="1">
        <f>$B$5*B26</f>
        <v>0</v>
      </c>
      <c r="D26" s="1">
        <f t="shared" ref="D26:D33" si="11">$C$5*B26</f>
        <v>0</v>
      </c>
      <c r="E26" s="1">
        <f>IF(C13&gt;0,$D$5*B26,0)</f>
        <v>0</v>
      </c>
      <c r="F26" s="1">
        <f>IF(B13&gt;0,$B$6-($B$6*$A$24),0)</f>
        <v>6899.9999999999982</v>
      </c>
      <c r="G26" s="1">
        <f>IF(D13=0,F26*0,F26*0.5)</f>
        <v>0</v>
      </c>
      <c r="H26" s="1">
        <f>IF(B13&gt;0,$C$6-($C$6*$A$24),0)</f>
        <v>3690</v>
      </c>
      <c r="I26" s="1">
        <f>IF(D13=0,H26*0,H26*0.5)</f>
        <v>0</v>
      </c>
      <c r="J26" s="1">
        <f>IF(C13&gt;0,$D$6-($D$6*A24),0)</f>
        <v>0</v>
      </c>
      <c r="K26" s="107">
        <f>+C26+D26+E26+F26-G26+H26-I26+J26</f>
        <v>10589.999999999998</v>
      </c>
      <c r="M26" s="1" t="s">
        <v>22</v>
      </c>
      <c r="N26" s="100" t="e">
        <f>(C26+F26)-((C26+F26)/12*B13)</f>
        <v>#VALUE!</v>
      </c>
      <c r="O26" s="102" t="e">
        <f>(D26+H26)-((D26+H26)/12*B13)</f>
        <v>#VALUE!</v>
      </c>
      <c r="P26" s="104">
        <f>(E26+J26)-((E26+J26)/12*C13)</f>
        <v>0</v>
      </c>
      <c r="Q26" s="107" t="e">
        <f>SUM(N26:P26)</f>
        <v>#VALUE!</v>
      </c>
    </row>
    <row r="27" spans="1:20" ht="12.75" customHeight="1">
      <c r="A27" s="1" t="s">
        <v>26</v>
      </c>
      <c r="B27" s="1">
        <f>M14</f>
        <v>0</v>
      </c>
      <c r="C27" s="1">
        <f>$B$5*B27</f>
        <v>0</v>
      </c>
      <c r="D27" s="1">
        <f t="shared" si="11"/>
        <v>0</v>
      </c>
      <c r="E27" s="1">
        <f>IF(C14&gt;0,$D$5*B27,0)</f>
        <v>0</v>
      </c>
      <c r="F27" s="1">
        <f t="shared" ref="F27:F33" si="12">IF(B14&gt;0,$B$6-($B$6*$A$24),0)</f>
        <v>6899.9999999999982</v>
      </c>
      <c r="G27" s="130">
        <f>IF(D14=0,F27*0,F27*0.5)</f>
        <v>0</v>
      </c>
      <c r="H27" s="1">
        <f t="shared" ref="H27:H33" si="13">IF(B14&gt;0,$C$6-($C$6*$A$24),0)</f>
        <v>3690</v>
      </c>
      <c r="I27" s="130">
        <f>IF(D14=0,H27*0,H27*0.5)</f>
        <v>0</v>
      </c>
      <c r="J27" s="1">
        <f>IF(C14&gt;0,$D$6-($D$6*$A$24),0)</f>
        <v>0</v>
      </c>
      <c r="K27" s="107">
        <f t="shared" ref="K27:K33" si="14">+C27+D27+E27+F27-G27+H27-I27+J27</f>
        <v>10589.999999999998</v>
      </c>
      <c r="M27" s="1" t="s">
        <v>26</v>
      </c>
      <c r="N27" s="100" t="e">
        <f t="shared" ref="N27:N33" si="15">(C27+F27-G27)-((C27+F27-G27)/12*B14)</f>
        <v>#VALUE!</v>
      </c>
      <c r="O27" s="102" t="e">
        <f t="shared" ref="O27:O33" si="16">(D27+H27-I27)-((D27+H27-I27)/12*B14)</f>
        <v>#VALUE!</v>
      </c>
      <c r="P27" s="104">
        <f>(E27+J27)-((E27+J27)/12*C14)</f>
        <v>0</v>
      </c>
      <c r="Q27" s="107" t="e">
        <f t="shared" ref="Q27:Q33" si="17">SUM(N27:P27)</f>
        <v>#VALUE!</v>
      </c>
    </row>
    <row r="28" spans="1:20" ht="12.75" customHeight="1">
      <c r="A28" s="1" t="s">
        <v>28</v>
      </c>
      <c r="B28" s="1">
        <f>M15</f>
        <v>0</v>
      </c>
      <c r="C28" s="1">
        <f>$B$5*B28</f>
        <v>0</v>
      </c>
      <c r="D28" s="1">
        <f t="shared" si="11"/>
        <v>0</v>
      </c>
      <c r="E28" s="1">
        <f>IF(C15&gt;0,$D$5*B28,0)</f>
        <v>0</v>
      </c>
      <c r="F28" s="1">
        <f t="shared" si="12"/>
        <v>6899.9999999999982</v>
      </c>
      <c r="G28" s="130">
        <f>IF(D15=0,F28*0,F28*0.5)</f>
        <v>0</v>
      </c>
      <c r="H28" s="1">
        <f t="shared" si="13"/>
        <v>3690</v>
      </c>
      <c r="I28" s="130">
        <f>IF(D15=0,H28*0,H28*0.5)</f>
        <v>0</v>
      </c>
      <c r="J28" s="1">
        <f>IF(C15&gt;0,$D$6-($D$6*$A$24),0)</f>
        <v>0</v>
      </c>
      <c r="K28" s="107">
        <f t="shared" si="14"/>
        <v>10589.999999999998</v>
      </c>
      <c r="M28" s="1" t="s">
        <v>28</v>
      </c>
      <c r="N28" s="100" t="e">
        <f t="shared" si="15"/>
        <v>#VALUE!</v>
      </c>
      <c r="O28" s="102" t="e">
        <f t="shared" si="16"/>
        <v>#VALUE!</v>
      </c>
      <c r="P28" s="104">
        <f>(E28+J28)-((E28+J28)/12*C15)</f>
        <v>0</v>
      </c>
      <c r="Q28" s="107" t="e">
        <f t="shared" si="17"/>
        <v>#VALUE!</v>
      </c>
    </row>
    <row r="29" spans="1:20" ht="12.75" customHeight="1">
      <c r="A29" s="1" t="s">
        <v>30</v>
      </c>
      <c r="B29" s="1">
        <f>M16</f>
        <v>0</v>
      </c>
      <c r="C29" s="1">
        <f t="shared" ref="C29:C31" si="18">$B$5*B29</f>
        <v>0</v>
      </c>
      <c r="D29" s="1">
        <f t="shared" si="11"/>
        <v>0</v>
      </c>
      <c r="E29" s="1">
        <f>IF(C16&gt;0,$D$5*B29,0)</f>
        <v>0</v>
      </c>
      <c r="F29" s="1">
        <f t="shared" si="12"/>
        <v>6899.9999999999982</v>
      </c>
      <c r="G29" s="130">
        <f>IF(D16=0,F29*0,F29*0.5)</f>
        <v>0</v>
      </c>
      <c r="H29" s="1">
        <f t="shared" si="13"/>
        <v>3690</v>
      </c>
      <c r="I29" s="130">
        <f>IF(D16=0,H29*0,H29*0.5)</f>
        <v>0</v>
      </c>
      <c r="J29" s="1">
        <f>IF(C16&gt;0,$D$6-($D$6*$A$24),0)</f>
        <v>0</v>
      </c>
      <c r="K29" s="107">
        <f t="shared" si="14"/>
        <v>10589.999999999998</v>
      </c>
      <c r="M29" s="1" t="s">
        <v>30</v>
      </c>
      <c r="N29" s="100" t="e">
        <f t="shared" si="15"/>
        <v>#VALUE!</v>
      </c>
      <c r="O29" s="102" t="e">
        <f t="shared" si="16"/>
        <v>#VALUE!</v>
      </c>
      <c r="P29" s="104">
        <f>(E29+J29)-((E29+J29)/12*C16)</f>
        <v>0</v>
      </c>
      <c r="Q29" s="107" t="e">
        <f t="shared" si="17"/>
        <v>#VALUE!</v>
      </c>
    </row>
    <row r="30" spans="1:20" ht="12.75" customHeight="1">
      <c r="A30" s="1" t="s">
        <v>31</v>
      </c>
      <c r="B30" s="1">
        <f>M17</f>
        <v>0</v>
      </c>
      <c r="C30" s="1">
        <f t="shared" si="18"/>
        <v>0</v>
      </c>
      <c r="D30" s="1">
        <f t="shared" si="11"/>
        <v>0</v>
      </c>
      <c r="E30" s="1">
        <f>IF(C17&gt;0,$D$5*B30,0)</f>
        <v>0</v>
      </c>
      <c r="F30" s="1">
        <f t="shared" si="12"/>
        <v>6899.9999999999982</v>
      </c>
      <c r="G30" s="130">
        <f>IF(D17=0,F30*0,F30*0.5)</f>
        <v>0</v>
      </c>
      <c r="H30" s="1">
        <f t="shared" si="13"/>
        <v>3690</v>
      </c>
      <c r="I30" s="130">
        <f>IF(D17=0,H30*0,H30*0.5)</f>
        <v>0</v>
      </c>
      <c r="J30" s="1">
        <f>IF(C17&gt;0,$D$6-($D$6*$A$24),0)</f>
        <v>0</v>
      </c>
      <c r="K30" s="107">
        <f t="shared" si="14"/>
        <v>10589.999999999998</v>
      </c>
      <c r="M30" s="1" t="s">
        <v>31</v>
      </c>
      <c r="N30" s="100" t="e">
        <f t="shared" si="15"/>
        <v>#VALUE!</v>
      </c>
      <c r="O30" s="102" t="e">
        <f t="shared" si="16"/>
        <v>#VALUE!</v>
      </c>
      <c r="P30" s="104">
        <f>(E30+J30)-((E30+J30)/12*C17)</f>
        <v>0</v>
      </c>
      <c r="Q30" s="107" t="e">
        <f t="shared" si="17"/>
        <v>#VALUE!</v>
      </c>
      <c r="S30" s="132"/>
    </row>
    <row r="31" spans="1:20" ht="12.75" customHeight="1">
      <c r="A31" s="1" t="s">
        <v>32</v>
      </c>
      <c r="B31" s="1">
        <f>M18</f>
        <v>0</v>
      </c>
      <c r="C31" s="1">
        <f t="shared" si="18"/>
        <v>0</v>
      </c>
      <c r="D31" s="1">
        <f t="shared" si="11"/>
        <v>0</v>
      </c>
      <c r="E31" s="1">
        <f>IF(C18&gt;0,$D$5*B31,0)</f>
        <v>0</v>
      </c>
      <c r="F31" s="1">
        <f t="shared" si="12"/>
        <v>6899.9999999999982</v>
      </c>
      <c r="G31" s="130">
        <f>IF(D18=0,F31*0,F31*0.5)</f>
        <v>0</v>
      </c>
      <c r="H31" s="1">
        <f t="shared" si="13"/>
        <v>3690</v>
      </c>
      <c r="I31" s="130">
        <f>IF(D18=0,H31*0,H31*0.5)</f>
        <v>0</v>
      </c>
      <c r="J31" s="1">
        <f>IF(C18&gt;0,$D$6-($D$6*$A$24),0)</f>
        <v>0</v>
      </c>
      <c r="K31" s="107">
        <f t="shared" si="14"/>
        <v>10589.999999999998</v>
      </c>
      <c r="M31" s="1" t="s">
        <v>32</v>
      </c>
      <c r="N31" s="100" t="e">
        <f t="shared" si="15"/>
        <v>#VALUE!</v>
      </c>
      <c r="O31" s="102" t="e">
        <f t="shared" si="16"/>
        <v>#VALUE!</v>
      </c>
      <c r="P31" s="104">
        <f>(E31+J31)-((E31+J31)/12*C18)</f>
        <v>0</v>
      </c>
      <c r="Q31" s="107" t="e">
        <f t="shared" si="17"/>
        <v>#VALUE!</v>
      </c>
      <c r="S31" s="52"/>
    </row>
    <row r="32" spans="1:20" ht="12.75" customHeight="1">
      <c r="A32" s="1" t="s">
        <v>5</v>
      </c>
      <c r="B32" s="1">
        <f>M19</f>
        <v>0</v>
      </c>
      <c r="C32" s="1">
        <f>$B$5*B32</f>
        <v>0</v>
      </c>
      <c r="D32" s="1">
        <f t="shared" si="11"/>
        <v>0</v>
      </c>
      <c r="E32" s="1">
        <f>IF(C19&gt;0,$D$5*B32,0)</f>
        <v>0</v>
      </c>
      <c r="F32" s="1">
        <f t="shared" si="12"/>
        <v>6899.9999999999982</v>
      </c>
      <c r="G32" s="130">
        <f>IF(D19=0,F32*0,F32*0.5)</f>
        <v>0</v>
      </c>
      <c r="H32" s="1">
        <f t="shared" si="13"/>
        <v>3690</v>
      </c>
      <c r="I32" s="130">
        <f>IF(D19=0,H32*0,H32*0.5)</f>
        <v>0</v>
      </c>
      <c r="J32" s="1">
        <f>IF(C19&gt;0,$D$6-($D$6*$A$24),0)</f>
        <v>0</v>
      </c>
      <c r="K32" s="107">
        <f t="shared" si="14"/>
        <v>10589.999999999998</v>
      </c>
      <c r="M32" s="1" t="s">
        <v>5</v>
      </c>
      <c r="N32" s="100" t="e">
        <f t="shared" si="15"/>
        <v>#VALUE!</v>
      </c>
      <c r="O32" s="102" t="e">
        <f t="shared" si="16"/>
        <v>#VALUE!</v>
      </c>
      <c r="P32" s="104">
        <f>(E32+J32)-((E32+J32)/12*C19)</f>
        <v>0</v>
      </c>
      <c r="Q32" s="107" t="e">
        <f t="shared" si="17"/>
        <v>#VALUE!</v>
      </c>
    </row>
    <row r="33" spans="1:17" ht="12.75" customHeight="1">
      <c r="A33" s="1" t="s">
        <v>34</v>
      </c>
      <c r="B33" s="1">
        <f>M20</f>
        <v>0</v>
      </c>
      <c r="C33" s="1">
        <f>$B$5*B33</f>
        <v>0</v>
      </c>
      <c r="D33" s="1">
        <f t="shared" si="11"/>
        <v>0</v>
      </c>
      <c r="E33" s="1">
        <f>IF(C20&gt;0,$D$5*B33,0)</f>
        <v>0</v>
      </c>
      <c r="F33" s="1">
        <f t="shared" si="12"/>
        <v>6899.9999999999982</v>
      </c>
      <c r="G33" s="130">
        <f>IF(D20=0,F33*0,F33*0.5)</f>
        <v>0</v>
      </c>
      <c r="H33" s="1">
        <f t="shared" si="13"/>
        <v>3690</v>
      </c>
      <c r="I33" s="130">
        <f>IF(D20=0,H33*0,H33*0.5)</f>
        <v>0</v>
      </c>
      <c r="J33" s="1">
        <f>IF(C20&gt;0,$D$6-($D$6*$A$24),0)</f>
        <v>0</v>
      </c>
      <c r="K33" s="107">
        <f t="shared" si="14"/>
        <v>10589.999999999998</v>
      </c>
      <c r="M33" s="1" t="s">
        <v>44</v>
      </c>
      <c r="N33" s="100" t="e">
        <f t="shared" si="15"/>
        <v>#VALUE!</v>
      </c>
      <c r="O33" s="102" t="e">
        <f t="shared" si="16"/>
        <v>#VALUE!</v>
      </c>
      <c r="P33" s="104">
        <f>(E33+J33)-((E33+J33)/12*C20)</f>
        <v>0</v>
      </c>
      <c r="Q33" s="107" t="e">
        <f t="shared" si="17"/>
        <v>#VALUE!</v>
      </c>
    </row>
    <row r="34" spans="1:17" ht="12.75" customHeight="1">
      <c r="A34" s="1" t="s">
        <v>56</v>
      </c>
      <c r="C34" s="96">
        <f>SUM(C26:C33)</f>
        <v>0</v>
      </c>
      <c r="D34" s="96">
        <f t="shared" ref="D34:J34" si="19">SUM(D26:D33)</f>
        <v>0</v>
      </c>
      <c r="E34" s="96">
        <f t="shared" si="19"/>
        <v>0</v>
      </c>
      <c r="F34" s="97">
        <f>SUM(F26:F33)</f>
        <v>55199.999999999993</v>
      </c>
      <c r="G34" s="1">
        <f t="shared" si="19"/>
        <v>0</v>
      </c>
      <c r="H34" s="97">
        <f>SUM(H26:H33)</f>
        <v>29520</v>
      </c>
      <c r="I34" s="1">
        <f t="shared" si="19"/>
        <v>0</v>
      </c>
      <c r="J34" s="97">
        <f t="shared" si="19"/>
        <v>0</v>
      </c>
      <c r="K34" s="106">
        <f>C34+D34+E34+F34-G34+H34-I34+J34</f>
        <v>84720</v>
      </c>
      <c r="M34" s="87" t="s">
        <v>107</v>
      </c>
      <c r="N34" s="100" t="e">
        <f>SUM(N26:N33)</f>
        <v>#VALUE!</v>
      </c>
      <c r="O34" s="102" t="e">
        <f>SUM(O26:O33)</f>
        <v>#VALUE!</v>
      </c>
      <c r="P34" s="104">
        <f>SUM(P26:P33)</f>
        <v>0</v>
      </c>
      <c r="Q34" s="131" t="e">
        <f>IF((Q26+Q27+Q28+Q29+Q30+Q31+Q32+Q33)=(N34+O34+P34),N34+O34+P34,FALSE)</f>
        <v>#VALUE!</v>
      </c>
    </row>
    <row r="35" spans="1:17" ht="12.75" customHeight="1">
      <c r="K35" s="1" t="s">
        <v>25</v>
      </c>
      <c r="L35" s="100" t="e">
        <f>IF(N34=0,0,((B7-(B7*A24))/12)*(12-B24))</f>
        <v>#VALUE!</v>
      </c>
      <c r="M35" s="1">
        <f>((C7-(C7*A24))/12)*(12-B24)</f>
        <v>0</v>
      </c>
    </row>
    <row r="36" spans="1:17" ht="12.75" customHeight="1">
      <c r="L36" s="100" t="e">
        <f>N34+L35</f>
        <v>#VALUE!</v>
      </c>
      <c r="M36" s="102" t="e">
        <f>O34+M35</f>
        <v>#VALUE!</v>
      </c>
      <c r="N36" s="104">
        <f>P34+N35</f>
        <v>0</v>
      </c>
    </row>
    <row r="37" spans="1:17" ht="18.75" customHeight="1" thickBot="1">
      <c r="A37" s="1" t="s">
        <v>84</v>
      </c>
    </row>
    <row r="38" spans="1:17" ht="26.25" customHeight="1">
      <c r="A38" s="7"/>
      <c r="B38" s="35" t="s">
        <v>106</v>
      </c>
      <c r="C38" s="43" t="s">
        <v>3</v>
      </c>
      <c r="D38" s="43" t="s">
        <v>55</v>
      </c>
      <c r="E38" s="43" t="s">
        <v>13</v>
      </c>
      <c r="F38" s="43" t="s">
        <v>15</v>
      </c>
      <c r="G38" s="43" t="s">
        <v>4</v>
      </c>
      <c r="H38" s="43" t="s">
        <v>20</v>
      </c>
      <c r="I38" s="43" t="s">
        <v>19</v>
      </c>
      <c r="J38" s="43" t="s">
        <v>0</v>
      </c>
      <c r="K38" s="43" t="s">
        <v>57</v>
      </c>
      <c r="L38" s="43" t="s">
        <v>60</v>
      </c>
      <c r="M38" s="43" t="s">
        <v>2</v>
      </c>
      <c r="N38" s="76" t="s">
        <v>42</v>
      </c>
    </row>
    <row r="39" spans="1:17">
      <c r="A39" s="8" t="s">
        <v>24</v>
      </c>
      <c r="B39" s="31"/>
      <c r="C39" s="31"/>
      <c r="D39" s="31"/>
      <c r="E39" s="36">
        <f>B39*$B$5</f>
        <v>0</v>
      </c>
      <c r="F39" s="36">
        <f>B39*$C$5</f>
        <v>0</v>
      </c>
      <c r="G39" s="36">
        <f>IF(D39&gt;0,B39*$D$5,0)</f>
        <v>0</v>
      </c>
      <c r="H39" s="36">
        <f>IF(C39&gt;0,$B$6-($B$6*$A$24),0)</f>
        <v>0</v>
      </c>
      <c r="I39" s="36">
        <f>IF(C39&gt;0,$C$6-($C$6*$A$24),0)</f>
        <v>0</v>
      </c>
      <c r="J39" s="36">
        <f>IF(D39&gt;0,$D$6-($D$6*$A$24),0)</f>
        <v>0</v>
      </c>
      <c r="K39" s="36">
        <f>E39+H39-((E39+H39)/12*(12-C39))</f>
        <v>0</v>
      </c>
      <c r="L39" s="36">
        <f>F39+I39-((F39+I39)/12*(12-C39))</f>
        <v>0</v>
      </c>
      <c r="M39" s="36">
        <f>G39+J39-((G39+J39)/12*(12-D39))</f>
        <v>0</v>
      </c>
      <c r="N39" s="68">
        <f>K39+L39+M39</f>
        <v>0</v>
      </c>
    </row>
    <row r="40" spans="1:17" ht="14.25" thickBot="1">
      <c r="A40" s="9" t="s">
        <v>52</v>
      </c>
      <c r="B40" s="32"/>
      <c r="C40" s="32"/>
      <c r="D40" s="32"/>
      <c r="E40" s="54">
        <f>B40*$B$5</f>
        <v>0</v>
      </c>
      <c r="F40" s="54">
        <f>B40*$C$5</f>
        <v>0</v>
      </c>
      <c r="G40" s="54">
        <f>IF(D40&gt;0,B40*$D$5,0)</f>
        <v>0</v>
      </c>
      <c r="H40" s="54">
        <f>IF(C40&gt;0,$B$6-($B$6*$A$24),0)</f>
        <v>0</v>
      </c>
      <c r="I40" s="54">
        <f>IF(C40&gt;0,$C$6-($C$6*$A$24),0)</f>
        <v>0</v>
      </c>
      <c r="J40" s="54">
        <f>IF(D40&gt;0,$D$6-($D$6*$A$24),0)</f>
        <v>0</v>
      </c>
      <c r="K40" s="54">
        <f>E40+H40-((E40+H40)/12*(12-C40))</f>
        <v>0</v>
      </c>
      <c r="L40" s="54">
        <f>F40+I40-((F40+I40)/12*(12-C40))</f>
        <v>0</v>
      </c>
      <c r="M40" s="54">
        <f>G40+J40-((G40+J40)/12*(12-D40))</f>
        <v>0</v>
      </c>
      <c r="N40" s="74">
        <f>K40+L40+M40</f>
        <v>0</v>
      </c>
    </row>
    <row r="41" spans="1:17">
      <c r="A41" s="1" t="s">
        <v>56</v>
      </c>
      <c r="K41" s="1">
        <f>SUM(K39:K40)</f>
        <v>0</v>
      </c>
      <c r="L41" s="1">
        <f>SUM(L39:L40)</f>
        <v>0</v>
      </c>
      <c r="M41" s="1">
        <f>SUM(M39:M40)</f>
        <v>0</v>
      </c>
    </row>
    <row r="43" spans="1:17" s="3" customFormat="1">
      <c r="A43" s="18"/>
      <c r="B43" s="24" t="s">
        <v>29</v>
      </c>
      <c r="C43" s="24" t="s">
        <v>18</v>
      </c>
      <c r="D43" s="24" t="s">
        <v>51</v>
      </c>
      <c r="E43" s="24" t="s">
        <v>23</v>
      </c>
      <c r="F43" s="24" t="s">
        <v>61</v>
      </c>
      <c r="G43" s="24" t="s">
        <v>63</v>
      </c>
      <c r="H43" s="24" t="s">
        <v>67</v>
      </c>
      <c r="I43" s="45" t="s">
        <v>68</v>
      </c>
      <c r="J43" s="71" t="s">
        <v>1</v>
      </c>
    </row>
    <row r="44" spans="1:17">
      <c r="A44" s="8" t="s">
        <v>12</v>
      </c>
      <c r="B44" s="95">
        <f>C34</f>
        <v>0</v>
      </c>
      <c r="C44" s="98">
        <f>F34-G34</f>
        <v>55199.999999999993</v>
      </c>
      <c r="D44" s="36">
        <f>IF(C44=0,0,B7-(B7*A24))</f>
        <v>4919.9999999999982</v>
      </c>
      <c r="E44" s="99" t="e">
        <f>L36</f>
        <v>#VALUE!</v>
      </c>
      <c r="F44" s="36">
        <f>K41</f>
        <v>0</v>
      </c>
      <c r="G44" s="36" t="e">
        <f>ROUNDDOWN(B44+C44+D44-E44+F44,-2)</f>
        <v>#VALUE!</v>
      </c>
      <c r="H44" s="36" t="e">
        <f>IF(G44&gt;B8,G44-B8,0)</f>
        <v>#VALUE!</v>
      </c>
      <c r="I44" s="68" t="e">
        <f>G44-H44</f>
        <v>#VALUE!</v>
      </c>
      <c r="J44" s="72" t="s">
        <v>82</v>
      </c>
    </row>
    <row r="45" spans="1:17">
      <c r="A45" s="8" t="s">
        <v>49</v>
      </c>
      <c r="B45" s="95">
        <f>D34</f>
        <v>0</v>
      </c>
      <c r="C45" s="98">
        <f>H34-I34</f>
        <v>29520</v>
      </c>
      <c r="D45" s="36">
        <f>C7-(C7*A24)</f>
        <v>0</v>
      </c>
      <c r="E45" s="101" t="e">
        <f>M36</f>
        <v>#VALUE!</v>
      </c>
      <c r="F45" s="36">
        <f>L41</f>
        <v>0</v>
      </c>
      <c r="G45" s="36" t="e">
        <f>ROUNDDOWN(B45+C45+D45-E45+F45,-2)</f>
        <v>#VALUE!</v>
      </c>
      <c r="H45" s="36" t="e">
        <f>IF(G45&gt;C8,G45-C8,0)</f>
        <v>#VALUE!</v>
      </c>
      <c r="I45" s="68" t="e">
        <f>G45-H45</f>
        <v>#VALUE!</v>
      </c>
    </row>
    <row r="46" spans="1:17" ht="14.25" thickBot="1">
      <c r="A46" s="8" t="s">
        <v>9</v>
      </c>
      <c r="B46" s="95">
        <f>E34</f>
        <v>0</v>
      </c>
      <c r="C46" s="98">
        <f>J34</f>
        <v>0</v>
      </c>
      <c r="D46" s="36"/>
      <c r="E46" s="103">
        <f>N36</f>
        <v>0</v>
      </c>
      <c r="F46" s="58">
        <f>M41</f>
        <v>0</v>
      </c>
      <c r="G46" s="58">
        <f>ROUNDDOWN(B46+C46+D46-E46+F46,-2)</f>
        <v>0</v>
      </c>
      <c r="H46" s="36">
        <f>IF(G46&gt;D8,G46-D8,0)</f>
        <v>0</v>
      </c>
      <c r="I46" s="68">
        <f>G46-H46</f>
        <v>0</v>
      </c>
    </row>
    <row r="47" spans="1:17" ht="27" customHeight="1" thickBot="1">
      <c r="A47" s="19"/>
      <c r="B47" s="10"/>
      <c r="C47" s="10"/>
      <c r="D47" s="10"/>
      <c r="E47" s="10"/>
      <c r="F47" s="59" t="s">
        <v>62</v>
      </c>
      <c r="G47" s="85" t="e">
        <f>I44+I45+I46</f>
        <v>#VALUE!</v>
      </c>
      <c r="H47" s="65" t="s">
        <v>81</v>
      </c>
      <c r="I47" s="69"/>
      <c r="M47" s="92"/>
      <c r="N47" s="93"/>
      <c r="O47" s="93"/>
      <c r="P47" s="93"/>
      <c r="Q47" s="94"/>
    </row>
    <row r="48" spans="1:17" ht="14.25" thickBot="1">
      <c r="A48" s="20"/>
      <c r="B48" s="11"/>
      <c r="C48" s="11"/>
      <c r="D48" s="11"/>
      <c r="E48" s="11"/>
      <c r="F48" s="11"/>
      <c r="G48" s="11"/>
      <c r="H48" s="11"/>
      <c r="I48" s="70"/>
      <c r="M48" s="94"/>
      <c r="N48" s="92"/>
      <c r="O48" s="92"/>
      <c r="P48" s="92"/>
      <c r="Q48" s="92"/>
    </row>
    <row r="49" spans="6:17" ht="20.25" customHeight="1">
      <c r="F49" s="60" t="s">
        <v>45</v>
      </c>
      <c r="M49" s="94"/>
      <c r="N49" s="92"/>
      <c r="O49" s="92"/>
      <c r="P49" s="92"/>
      <c r="Q49" s="92"/>
    </row>
  </sheetData>
  <sheetProtection selectLockedCells="1"/>
  <mergeCells count="1">
    <mergeCell ref="C21:D21"/>
  </mergeCells>
  <phoneticPr fontId="1"/>
  <pageMargins left="0.47244094488188981" right="0.39370078740157483" top="0.51181102362204722" bottom="0.27559055118110237" header="0.31496062992125984" footer="0.19685039370078741"/>
  <pageSetup paperSize="9" scale="68" orientation="landscape" r:id="rId1"/>
  <headerFooter alignWithMargins="0">
    <oddHeader>&amp;L&amp;A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54D949F-C91F-4563-940F-FC30E5E3EAB6}">
          <x14:formula1>
            <xm:f>軽減判定計算シート!$A$10:$A$11</xm:f>
          </x14:formula1>
          <xm:sqref>D13:D20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T49"/>
  <sheetViews>
    <sheetView view="pageBreakPreview" zoomScale="70" zoomScaleNormal="85" zoomScaleSheetLayoutView="70" workbookViewId="0">
      <selection activeCell="T14" sqref="T14"/>
    </sheetView>
  </sheetViews>
  <sheetFormatPr defaultRowHeight="13.5"/>
  <cols>
    <col min="1" max="1" width="8" style="1" customWidth="1"/>
    <col min="2" max="2" width="12.625" style="1" customWidth="1"/>
    <col min="3" max="5" width="10" style="1" customWidth="1"/>
    <col min="6" max="6" width="9.25" style="1" bestFit="1" customWidth="1"/>
    <col min="7" max="7" width="10.375" style="1" customWidth="1"/>
    <col min="8" max="8" width="9.75" style="1" customWidth="1"/>
    <col min="9" max="9" width="9.875" style="1" customWidth="1"/>
    <col min="10" max="10" width="9.75" style="1" customWidth="1"/>
    <col min="11" max="11" width="10.25" style="1" customWidth="1"/>
    <col min="12" max="12" width="9.5" style="1" customWidth="1"/>
    <col min="13" max="15" width="9" style="1" customWidth="1"/>
    <col min="16" max="16" width="9.5" style="1" customWidth="1"/>
    <col min="17" max="17" width="9" style="1" customWidth="1"/>
    <col min="18" max="18" width="9" style="1"/>
    <col min="19" max="19" width="10.25" style="1" bestFit="1" customWidth="1"/>
    <col min="20" max="16384" width="9" style="1"/>
  </cols>
  <sheetData>
    <row r="1" spans="1:20" ht="90.75" customHeight="1">
      <c r="A1" s="4" t="s">
        <v>79</v>
      </c>
      <c r="B1" s="21"/>
    </row>
    <row r="2" spans="1:20" ht="14.25" customHeight="1">
      <c r="A2" s="5" t="s">
        <v>74</v>
      </c>
      <c r="B2" s="22" t="s">
        <v>58</v>
      </c>
      <c r="C2" s="37" t="s">
        <v>50</v>
      </c>
      <c r="D2" s="22" t="s">
        <v>75</v>
      </c>
    </row>
    <row r="3" spans="1:20" ht="14.25" customHeight="1" thickBot="1">
      <c r="A3" s="6"/>
      <c r="B3" s="23"/>
      <c r="C3" s="38"/>
      <c r="D3" s="44"/>
    </row>
    <row r="4" spans="1:20">
      <c r="A4" s="7" t="s">
        <v>76</v>
      </c>
      <c r="B4" s="24" t="s">
        <v>59</v>
      </c>
      <c r="C4" s="24" t="s">
        <v>64</v>
      </c>
      <c r="D4" s="45" t="s">
        <v>46</v>
      </c>
      <c r="O4" s="108"/>
      <c r="P4" s="109" t="s">
        <v>59</v>
      </c>
      <c r="Q4" s="109" t="s">
        <v>47</v>
      </c>
      <c r="R4" s="109" t="s">
        <v>54</v>
      </c>
      <c r="S4" s="109" t="s">
        <v>107</v>
      </c>
      <c r="T4" s="110" t="s">
        <v>109</v>
      </c>
    </row>
    <row r="5" spans="1:20">
      <c r="A5" s="8" t="s">
        <v>8</v>
      </c>
      <c r="B5" s="25">
        <v>7.4499999999999997E-2</v>
      </c>
      <c r="C5" s="25">
        <v>2.8000000000000001E-2</v>
      </c>
      <c r="D5" s="46">
        <v>2.5999999999999999E-2</v>
      </c>
      <c r="E5" s="51"/>
      <c r="O5" s="19" t="s">
        <v>22</v>
      </c>
      <c r="P5" s="92">
        <f t="shared" ref="P5:P12" si="0">C26+F26-N26</f>
        <v>27015</v>
      </c>
      <c r="Q5" s="92">
        <f t="shared" ref="Q5:Q12" si="1">D26+H26-O26</f>
        <v>11250</v>
      </c>
      <c r="R5" s="92">
        <f t="shared" ref="R5:R12" si="2">E26+J26-P26</f>
        <v>6649.9999999999991</v>
      </c>
      <c r="S5" s="111">
        <f t="shared" ref="S5:S12" si="3">SUM(P5:R5)</f>
        <v>44915</v>
      </c>
      <c r="T5" s="69">
        <f t="shared" ref="T5:T12" si="4">ROUNDDOWN(S5,-2)</f>
        <v>44900</v>
      </c>
    </row>
    <row r="6" spans="1:20">
      <c r="A6" s="8" t="s">
        <v>10</v>
      </c>
      <c r="B6" s="26">
        <v>23000</v>
      </c>
      <c r="C6" s="26">
        <v>12300</v>
      </c>
      <c r="D6" s="47">
        <v>14600</v>
      </c>
      <c r="F6" s="55" t="s">
        <v>98</v>
      </c>
      <c r="I6" s="52"/>
      <c r="O6" s="19" t="s">
        <v>26</v>
      </c>
      <c r="P6" s="92">
        <f t="shared" si="0"/>
        <v>38190</v>
      </c>
      <c r="Q6" s="92">
        <f t="shared" si="1"/>
        <v>15450</v>
      </c>
      <c r="R6" s="92">
        <f t="shared" si="2"/>
        <v>8924.9999999999982</v>
      </c>
      <c r="S6" s="112">
        <f t="shared" si="3"/>
        <v>62565</v>
      </c>
      <c r="T6" s="69">
        <f t="shared" si="4"/>
        <v>62500</v>
      </c>
    </row>
    <row r="7" spans="1:20">
      <c r="A7" s="8" t="s">
        <v>6</v>
      </c>
      <c r="B7" s="26">
        <v>16400</v>
      </c>
      <c r="C7" s="39"/>
      <c r="D7" s="48"/>
      <c r="F7" s="56"/>
      <c r="G7" s="61" t="s">
        <v>78</v>
      </c>
      <c r="H7" s="61" t="s">
        <v>93</v>
      </c>
      <c r="I7" s="52"/>
      <c r="O7" s="19" t="s">
        <v>28</v>
      </c>
      <c r="P7" s="92">
        <f t="shared" si="0"/>
        <v>49365</v>
      </c>
      <c r="Q7" s="92">
        <f t="shared" si="1"/>
        <v>19650</v>
      </c>
      <c r="R7" s="92">
        <f t="shared" si="2"/>
        <v>11200</v>
      </c>
      <c r="S7" s="112">
        <f t="shared" si="3"/>
        <v>80215</v>
      </c>
      <c r="T7" s="69">
        <f t="shared" si="4"/>
        <v>80200</v>
      </c>
    </row>
    <row r="8" spans="1:20" ht="14.25" thickBot="1">
      <c r="A8" s="9" t="s">
        <v>66</v>
      </c>
      <c r="B8" s="27">
        <v>650000</v>
      </c>
      <c r="C8" s="27">
        <v>240000</v>
      </c>
      <c r="D8" s="49">
        <v>170000</v>
      </c>
      <c r="F8" s="57" t="s">
        <v>72</v>
      </c>
      <c r="G8" s="5">
        <v>0</v>
      </c>
      <c r="H8" s="36">
        <f>G8*0.3</f>
        <v>0</v>
      </c>
      <c r="I8" s="66" t="s">
        <v>96</v>
      </c>
      <c r="O8" s="19" t="s">
        <v>30</v>
      </c>
      <c r="P8" s="92">
        <f t="shared" si="0"/>
        <v>0</v>
      </c>
      <c r="Q8" s="92">
        <f t="shared" si="1"/>
        <v>0</v>
      </c>
      <c r="R8" s="92">
        <f t="shared" si="2"/>
        <v>0</v>
      </c>
      <c r="S8" s="92">
        <f t="shared" si="3"/>
        <v>0</v>
      </c>
      <c r="T8" s="69">
        <f t="shared" si="4"/>
        <v>0</v>
      </c>
    </row>
    <row r="9" spans="1:20" ht="14.25" thickBot="1">
      <c r="A9" s="10"/>
      <c r="B9" s="28" t="s">
        <v>100</v>
      </c>
      <c r="C9" s="28"/>
      <c r="D9" s="28"/>
      <c r="F9" s="57" t="s">
        <v>99</v>
      </c>
      <c r="G9" s="5">
        <v>0</v>
      </c>
      <c r="H9" s="58">
        <f>G9</f>
        <v>0</v>
      </c>
      <c r="I9" s="66" t="s">
        <v>97</v>
      </c>
      <c r="O9" s="19" t="s">
        <v>31</v>
      </c>
      <c r="P9" s="92">
        <f t="shared" si="0"/>
        <v>0</v>
      </c>
      <c r="Q9" s="92">
        <f t="shared" si="1"/>
        <v>0</v>
      </c>
      <c r="R9" s="92">
        <f t="shared" si="2"/>
        <v>0</v>
      </c>
      <c r="S9" s="92">
        <f t="shared" si="3"/>
        <v>0</v>
      </c>
      <c r="T9" s="69">
        <f t="shared" si="4"/>
        <v>0</v>
      </c>
    </row>
    <row r="10" spans="1:20" ht="14.25" thickBot="1">
      <c r="F10" s="57" t="s">
        <v>92</v>
      </c>
      <c r="G10" s="62">
        <f>SUM(G8:G9)</f>
        <v>0</v>
      </c>
      <c r="H10" s="64">
        <f>SUM(H8:H9)</f>
        <v>0</v>
      </c>
      <c r="I10" s="67"/>
      <c r="O10" s="19" t="s">
        <v>32</v>
      </c>
      <c r="P10" s="92">
        <f t="shared" si="0"/>
        <v>0</v>
      </c>
      <c r="Q10" s="92">
        <f t="shared" si="1"/>
        <v>0</v>
      </c>
      <c r="R10" s="92">
        <f t="shared" si="2"/>
        <v>0</v>
      </c>
      <c r="S10" s="92">
        <f t="shared" si="3"/>
        <v>0</v>
      </c>
      <c r="T10" s="69">
        <f t="shared" si="4"/>
        <v>0</v>
      </c>
    </row>
    <row r="11" spans="1:20" ht="14.25" thickBot="1">
      <c r="A11" s="11"/>
      <c r="B11" s="29"/>
      <c r="C11" s="40"/>
      <c r="D11" s="50"/>
      <c r="E11" s="52"/>
      <c r="O11" s="19" t="s">
        <v>5</v>
      </c>
      <c r="P11" s="92">
        <f t="shared" si="0"/>
        <v>0</v>
      </c>
      <c r="Q11" s="92">
        <f t="shared" si="1"/>
        <v>0</v>
      </c>
      <c r="R11" s="92">
        <f t="shared" si="2"/>
        <v>0</v>
      </c>
      <c r="S11" s="92">
        <f t="shared" si="3"/>
        <v>0</v>
      </c>
      <c r="T11" s="69">
        <f t="shared" si="4"/>
        <v>0</v>
      </c>
    </row>
    <row r="12" spans="1:20" s="2" customFormat="1" ht="37.5" customHeight="1">
      <c r="A12" s="12" t="s">
        <v>77</v>
      </c>
      <c r="B12" s="30" t="s">
        <v>83</v>
      </c>
      <c r="C12" s="30" t="s">
        <v>73</v>
      </c>
      <c r="D12" s="30" t="s">
        <v>103</v>
      </c>
      <c r="E12" s="30" t="s">
        <v>92</v>
      </c>
      <c r="F12" s="53" t="s">
        <v>35</v>
      </c>
      <c r="G12" s="30" t="s">
        <v>80</v>
      </c>
      <c r="H12" s="30" t="s">
        <v>69</v>
      </c>
      <c r="I12" s="53" t="s">
        <v>36</v>
      </c>
      <c r="J12" s="30" t="s">
        <v>16</v>
      </c>
      <c r="K12" s="30" t="s">
        <v>14</v>
      </c>
      <c r="L12" s="53" t="s">
        <v>33</v>
      </c>
      <c r="M12" s="73" t="s">
        <v>7</v>
      </c>
      <c r="O12" s="19" t="s">
        <v>44</v>
      </c>
      <c r="P12" s="92">
        <f t="shared" si="0"/>
        <v>0</v>
      </c>
      <c r="Q12" s="92">
        <f t="shared" si="1"/>
        <v>0</v>
      </c>
      <c r="R12" s="92">
        <f t="shared" si="2"/>
        <v>0</v>
      </c>
      <c r="S12" s="92">
        <f t="shared" si="3"/>
        <v>0</v>
      </c>
      <c r="T12" s="69">
        <f t="shared" si="4"/>
        <v>0</v>
      </c>
    </row>
    <row r="13" spans="1:20">
      <c r="A13" s="13" t="s">
        <v>22</v>
      </c>
      <c r="B13" s="31">
        <v>12</v>
      </c>
      <c r="C13" s="31">
        <v>7</v>
      </c>
      <c r="D13" s="88">
        <v>0</v>
      </c>
      <c r="E13" s="31">
        <v>700000</v>
      </c>
      <c r="F13" s="31"/>
      <c r="G13" s="36">
        <f t="shared" ref="G13:G14" si="5">F13-H13</f>
        <v>0</v>
      </c>
      <c r="H13" s="36">
        <f t="shared" ref="H13:H14" si="6">IF(F13&gt;150000,150000,F13)</f>
        <v>0</v>
      </c>
      <c r="I13" s="31">
        <v>0</v>
      </c>
      <c r="J13" s="36">
        <f t="shared" ref="J13:J14" si="7">IF(E13-H13+I13&gt;0,E13-H13+I13,0)</f>
        <v>700000</v>
      </c>
      <c r="K13" s="36">
        <f t="shared" ref="K13:K14" si="8">IF(E13&gt;430000,E13-430000,0)</f>
        <v>270000</v>
      </c>
      <c r="L13" s="31">
        <v>0</v>
      </c>
      <c r="M13" s="68">
        <f t="shared" ref="M13:M17" si="9">K13+L13</f>
        <v>270000</v>
      </c>
      <c r="N13" s="75" t="str">
        <f t="shared" ref="N13:N20" si="10">IF(B13&lt;C13,"ERROR","　　")</f>
        <v>　　</v>
      </c>
      <c r="O13" s="113" t="s">
        <v>56</v>
      </c>
      <c r="P13" s="115">
        <f>SUM(P5:P12)</f>
        <v>114570</v>
      </c>
      <c r="Q13" s="115">
        <f>SUM(Q5:Q12)</f>
        <v>46350</v>
      </c>
      <c r="R13" s="115">
        <f>SUM(R5:R12)</f>
        <v>26774.999999999996</v>
      </c>
      <c r="S13" s="114">
        <f>IF((S5+S6+S7+S8+S9+S10+S11+S12)=(P13+Q13+R13),S5+S6+S7+S8+S9+S10+S11+S12,FALSE)</f>
        <v>187695</v>
      </c>
      <c r="T13" s="69">
        <f>SUM(T5:T12)</f>
        <v>187600</v>
      </c>
    </row>
    <row r="14" spans="1:20">
      <c r="A14" s="13" t="s">
        <v>26</v>
      </c>
      <c r="B14" s="31">
        <v>12</v>
      </c>
      <c r="C14" s="31">
        <v>7</v>
      </c>
      <c r="D14" s="89"/>
      <c r="E14" s="31">
        <v>850000</v>
      </c>
      <c r="F14" s="31"/>
      <c r="G14" s="36">
        <f t="shared" si="5"/>
        <v>0</v>
      </c>
      <c r="H14" s="36">
        <f t="shared" si="6"/>
        <v>0</v>
      </c>
      <c r="I14" s="31"/>
      <c r="J14" s="36">
        <f t="shared" si="7"/>
        <v>850000</v>
      </c>
      <c r="K14" s="36">
        <f t="shared" si="8"/>
        <v>420000</v>
      </c>
      <c r="L14" s="31"/>
      <c r="M14" s="68">
        <f t="shared" si="9"/>
        <v>420000</v>
      </c>
      <c r="N14" s="75" t="str">
        <f t="shared" si="10"/>
        <v>　　</v>
      </c>
      <c r="O14" s="19"/>
      <c r="P14" s="92"/>
      <c r="Q14" s="92"/>
      <c r="R14" s="94" t="s">
        <v>110</v>
      </c>
      <c r="S14" s="92">
        <f>(D44*B24/12)</f>
        <v>4919.9999999999982</v>
      </c>
      <c r="T14" s="69">
        <f>(D44*B24/12)</f>
        <v>4919.9999999999982</v>
      </c>
    </row>
    <row r="15" spans="1:20" ht="14.25" thickBot="1">
      <c r="A15" s="13" t="s">
        <v>28</v>
      </c>
      <c r="B15" s="31">
        <v>12</v>
      </c>
      <c r="C15" s="31">
        <v>7</v>
      </c>
      <c r="D15" s="89"/>
      <c r="E15" s="31">
        <v>1000000</v>
      </c>
      <c r="F15" s="31"/>
      <c r="G15" s="36">
        <f t="shared" ref="G15:G16" si="11">F15-H15</f>
        <v>0</v>
      </c>
      <c r="H15" s="36">
        <f t="shared" ref="H15:H16" si="12">IF(F15&gt;150000,150000,F15)</f>
        <v>0</v>
      </c>
      <c r="I15" s="31"/>
      <c r="J15" s="36">
        <f t="shared" ref="J15:J17" si="13">IF(E15-H15+I15&gt;0,E15-H15+I15,0)</f>
        <v>1000000</v>
      </c>
      <c r="K15" s="36">
        <f t="shared" ref="K15:K17" si="14">IF(E15&gt;430000,E15-430000,0)</f>
        <v>570000</v>
      </c>
      <c r="L15" s="31"/>
      <c r="M15" s="68">
        <f>K15+L15</f>
        <v>570000</v>
      </c>
      <c r="N15" s="75" t="str">
        <f t="shared" si="10"/>
        <v>　　</v>
      </c>
      <c r="O15" s="116"/>
      <c r="P15" s="11"/>
      <c r="Q15" s="11"/>
      <c r="R15" s="11"/>
      <c r="S15" s="11"/>
      <c r="T15" s="117">
        <f>ROUNDDOWN(SUM(T13:T14),-2)</f>
        <v>192500</v>
      </c>
    </row>
    <row r="16" spans="1:20">
      <c r="A16" s="13" t="s">
        <v>30</v>
      </c>
      <c r="B16" s="31"/>
      <c r="C16" s="31"/>
      <c r="D16" s="89"/>
      <c r="E16" s="31"/>
      <c r="F16" s="31"/>
      <c r="G16" s="36">
        <f t="shared" si="11"/>
        <v>0</v>
      </c>
      <c r="H16" s="36">
        <f t="shared" si="12"/>
        <v>0</v>
      </c>
      <c r="I16" s="31"/>
      <c r="J16" s="36">
        <f t="shared" si="13"/>
        <v>0</v>
      </c>
      <c r="K16" s="36">
        <f t="shared" si="14"/>
        <v>0</v>
      </c>
      <c r="L16" s="31"/>
      <c r="M16" s="68">
        <f t="shared" si="9"/>
        <v>0</v>
      </c>
      <c r="N16" s="75" t="str">
        <f t="shared" si="10"/>
        <v>　　</v>
      </c>
      <c r="O16" s="87"/>
    </row>
    <row r="17" spans="1:20">
      <c r="A17" s="13" t="s">
        <v>31</v>
      </c>
      <c r="B17" s="31"/>
      <c r="C17" s="31"/>
      <c r="D17" s="89"/>
      <c r="E17" s="31"/>
      <c r="F17" s="31"/>
      <c r="G17" s="36"/>
      <c r="H17" s="36"/>
      <c r="I17" s="31"/>
      <c r="J17" s="36">
        <f t="shared" si="13"/>
        <v>0</v>
      </c>
      <c r="K17" s="36">
        <f t="shared" si="14"/>
        <v>0</v>
      </c>
      <c r="L17" s="31"/>
      <c r="M17" s="68">
        <f t="shared" si="9"/>
        <v>0</v>
      </c>
      <c r="N17" s="75" t="str">
        <f t="shared" si="10"/>
        <v>　　</v>
      </c>
      <c r="O17"/>
      <c r="P17"/>
      <c r="Q17"/>
      <c r="R17"/>
      <c r="S17"/>
      <c r="T17"/>
    </row>
    <row r="18" spans="1:20">
      <c r="A18" s="13" t="s">
        <v>32</v>
      </c>
      <c r="B18" s="31"/>
      <c r="C18" s="31"/>
      <c r="D18" s="89"/>
      <c r="E18" s="31"/>
      <c r="F18" s="31"/>
      <c r="G18" s="36"/>
      <c r="H18" s="36"/>
      <c r="I18" s="31"/>
      <c r="J18" s="36"/>
      <c r="K18" s="36"/>
      <c r="L18" s="31"/>
      <c r="M18" s="68"/>
      <c r="N18" s="75" t="str">
        <f t="shared" si="10"/>
        <v>　　</v>
      </c>
      <c r="O18"/>
      <c r="P18"/>
      <c r="Q18"/>
      <c r="R18"/>
      <c r="S18"/>
      <c r="T18"/>
    </row>
    <row r="19" spans="1:20">
      <c r="A19" s="13" t="s">
        <v>5</v>
      </c>
      <c r="B19" s="31"/>
      <c r="C19" s="31"/>
      <c r="D19" s="89"/>
      <c r="E19" s="31"/>
      <c r="F19" s="31"/>
      <c r="G19" s="36"/>
      <c r="H19" s="36"/>
      <c r="I19" s="31"/>
      <c r="J19" s="36"/>
      <c r="K19" s="36"/>
      <c r="L19" s="31"/>
      <c r="M19" s="68"/>
      <c r="N19" s="75" t="str">
        <f t="shared" si="10"/>
        <v>　　</v>
      </c>
      <c r="O19"/>
      <c r="P19"/>
      <c r="Q19"/>
      <c r="R19"/>
      <c r="S19"/>
      <c r="T19"/>
    </row>
    <row r="20" spans="1:20" ht="14.25" thickBot="1">
      <c r="A20" s="14" t="s">
        <v>44</v>
      </c>
      <c r="B20" s="32"/>
      <c r="C20" s="32"/>
      <c r="D20" s="90"/>
      <c r="E20" s="32"/>
      <c r="F20" s="32"/>
      <c r="G20" s="54"/>
      <c r="H20" s="54"/>
      <c r="I20" s="32"/>
      <c r="J20" s="54"/>
      <c r="K20" s="54"/>
      <c r="L20" s="32"/>
      <c r="M20" s="74"/>
      <c r="N20" s="75" t="str">
        <f t="shared" si="10"/>
        <v>　　</v>
      </c>
      <c r="O20"/>
      <c r="P20"/>
      <c r="Q20"/>
      <c r="R20"/>
      <c r="S20"/>
      <c r="T20"/>
    </row>
    <row r="21" spans="1:20" ht="19.5" customHeight="1" thickBot="1">
      <c r="A21" s="91" t="s">
        <v>11</v>
      </c>
      <c r="B21" s="33">
        <v>0</v>
      </c>
      <c r="C21" s="169" t="s">
        <v>101</v>
      </c>
      <c r="D21" s="170"/>
      <c r="E21" s="33">
        <v>3</v>
      </c>
      <c r="G21" s="63"/>
      <c r="I21" s="1">
        <f>SUM(J13:J20)</f>
        <v>2550000</v>
      </c>
      <c r="J21" s="63"/>
      <c r="L21" s="75"/>
      <c r="O21"/>
      <c r="P21"/>
      <c r="Q21"/>
      <c r="R21"/>
      <c r="S21"/>
      <c r="T21"/>
    </row>
    <row r="22" spans="1:20" ht="11.25" customHeight="1">
      <c r="B22" s="34">
        <f>COUNT(B13:B20)</f>
        <v>3</v>
      </c>
      <c r="C22" s="41" t="s">
        <v>70</v>
      </c>
      <c r="O22"/>
      <c r="P22"/>
      <c r="Q22"/>
      <c r="R22"/>
      <c r="S22"/>
      <c r="T22"/>
    </row>
    <row r="23" spans="1:20" ht="11.25" customHeight="1">
      <c r="A23" s="15" t="s">
        <v>38</v>
      </c>
      <c r="B23" s="34">
        <f>IF(B13=0,COUNT(B14:B20),COUNT(B13:B20))</f>
        <v>3</v>
      </c>
      <c r="C23" s="41" t="s">
        <v>71</v>
      </c>
      <c r="O23"/>
      <c r="P23"/>
      <c r="Q23"/>
      <c r="R23"/>
      <c r="S23"/>
      <c r="T23"/>
    </row>
    <row r="24" spans="1:20" ht="11.25" customHeight="1">
      <c r="A24" s="16">
        <f>IF(B21=0,軽減判定計算シート!G7,0)</f>
        <v>0.70000000000000007</v>
      </c>
      <c r="B24" s="34">
        <f>MAX(B13:B20)</f>
        <v>12</v>
      </c>
      <c r="C24" s="42"/>
      <c r="K24" s="1" t="s">
        <v>65</v>
      </c>
      <c r="O24"/>
      <c r="P24"/>
      <c r="Q24"/>
      <c r="R24"/>
      <c r="S24"/>
      <c r="T24"/>
    </row>
    <row r="25" spans="1:20" s="3" customFormat="1" ht="27" customHeight="1">
      <c r="A25" s="17" t="s">
        <v>21</v>
      </c>
      <c r="B25" s="17" t="s">
        <v>14</v>
      </c>
      <c r="C25" s="17" t="s">
        <v>13</v>
      </c>
      <c r="D25" s="17" t="s">
        <v>15</v>
      </c>
      <c r="E25" s="17" t="s">
        <v>4</v>
      </c>
      <c r="F25" s="17" t="s">
        <v>20</v>
      </c>
      <c r="G25" s="86" t="s">
        <v>105</v>
      </c>
      <c r="H25" s="17" t="s">
        <v>19</v>
      </c>
      <c r="I25" s="86" t="s">
        <v>104</v>
      </c>
      <c r="J25" s="17" t="s">
        <v>0</v>
      </c>
      <c r="K25" s="17" t="s">
        <v>48</v>
      </c>
      <c r="N25" s="3" t="s">
        <v>53</v>
      </c>
      <c r="O25" s="3" t="s">
        <v>47</v>
      </c>
      <c r="P25" s="3" t="s">
        <v>54</v>
      </c>
      <c r="Q25" s="105" t="s">
        <v>108</v>
      </c>
    </row>
    <row r="26" spans="1:20" ht="12.75" customHeight="1">
      <c r="A26" s="1" t="s">
        <v>22</v>
      </c>
      <c r="B26" s="1">
        <f>IF(B13=0,0,M13)</f>
        <v>270000</v>
      </c>
      <c r="C26" s="1">
        <f>$B$5*B26</f>
        <v>20115</v>
      </c>
      <c r="D26" s="1">
        <f t="shared" ref="D26:D33" si="15">$C$5*B26</f>
        <v>7560</v>
      </c>
      <c r="E26" s="1">
        <f t="shared" ref="E26:E33" si="16">IF(C13&gt;0,$D$5*B26,0)</f>
        <v>7020</v>
      </c>
      <c r="F26" s="1">
        <f>IF(B13&gt;0,$B$6-($B$6*$A$24),0)</f>
        <v>6899.9999999999982</v>
      </c>
      <c r="G26" s="1">
        <f>IF(D13=0,F26*0,F26*0.5)</f>
        <v>0</v>
      </c>
      <c r="H26" s="1">
        <f>IF(B13&gt;0,$C$6-($C$6*$A$24),0)</f>
        <v>3690</v>
      </c>
      <c r="I26" s="1">
        <f>IF(D13=0,H26*0,H26*0.5)</f>
        <v>0</v>
      </c>
      <c r="J26" s="1">
        <f>IF(C13&gt;0,$D$6-($D$6*A24),0)</f>
        <v>4379.9999999999982</v>
      </c>
      <c r="K26" s="107">
        <f>+C26+D26+E26+F26-G26+H26-I26+J26</f>
        <v>49665</v>
      </c>
      <c r="M26" s="1" t="s">
        <v>22</v>
      </c>
      <c r="N26" s="100">
        <f>(C26+F26)-((C26+F26)/12*B13)</f>
        <v>0</v>
      </c>
      <c r="O26" s="102">
        <f>(D26+H26)-((D26+H26)/12*B13)</f>
        <v>0</v>
      </c>
      <c r="P26" s="104">
        <f t="shared" ref="P26:P33" si="17">(E26+J26)-((E26+J26)/12*C13)</f>
        <v>4749.9999999999991</v>
      </c>
      <c r="Q26" s="107">
        <f>SUM(N26:P26)</f>
        <v>4749.9999999999991</v>
      </c>
    </row>
    <row r="27" spans="1:20" ht="12.75" customHeight="1">
      <c r="A27" s="1" t="s">
        <v>26</v>
      </c>
      <c r="B27" s="1">
        <f t="shared" ref="B27:B33" si="18">M14</f>
        <v>420000</v>
      </c>
      <c r="C27" s="1">
        <f>$B$5*B27</f>
        <v>31290</v>
      </c>
      <c r="D27" s="1">
        <f t="shared" si="15"/>
        <v>11760</v>
      </c>
      <c r="E27" s="1">
        <f t="shared" si="16"/>
        <v>10920</v>
      </c>
      <c r="F27" s="1">
        <f t="shared" ref="F27:F33" si="19">IF(B14&gt;0,$B$6-($B$6*$A$24),0)</f>
        <v>6899.9999999999982</v>
      </c>
      <c r="G27" s="1">
        <f t="shared" ref="G27:G33" si="20">IF(D14=0,F27*0,F27*0.5)</f>
        <v>0</v>
      </c>
      <c r="H27" s="1">
        <f t="shared" ref="H27:H33" si="21">IF(B14&gt;0,$C$6-($C$6*$A$24),0)</f>
        <v>3690</v>
      </c>
      <c r="I27" s="1">
        <f t="shared" ref="I27:I33" si="22">IF(D14=0,H27*0,H27*0.5)</f>
        <v>0</v>
      </c>
      <c r="J27" s="1">
        <f t="shared" ref="J27:J33" si="23">IF(C14&gt;0,$D$6-($D$6*$A$24),0)</f>
        <v>4379.9999999999982</v>
      </c>
      <c r="K27" s="107">
        <f t="shared" ref="K27:K33" si="24">+C27+D27+E27+F27-G27+H27-I27+J27</f>
        <v>68940</v>
      </c>
      <c r="M27" s="1" t="s">
        <v>26</v>
      </c>
      <c r="N27" s="100">
        <f t="shared" ref="N27:N33" si="25">(C27+F27)-((C27+F27)/12*B14)</f>
        <v>0</v>
      </c>
      <c r="O27" s="102">
        <f t="shared" ref="O27:O33" si="26">(D27+H27)-((D27+H27)/12*B14)</f>
        <v>0</v>
      </c>
      <c r="P27" s="104">
        <f t="shared" si="17"/>
        <v>6375</v>
      </c>
      <c r="Q27" s="107">
        <f t="shared" ref="Q27:Q33" si="27">SUM(N27:P27)</f>
        <v>6375</v>
      </c>
    </row>
    <row r="28" spans="1:20" ht="12.75" customHeight="1">
      <c r="A28" s="1" t="s">
        <v>28</v>
      </c>
      <c r="B28" s="1">
        <f>M15</f>
        <v>570000</v>
      </c>
      <c r="C28" s="1">
        <f>$B$5*B28</f>
        <v>42465</v>
      </c>
      <c r="D28" s="1">
        <f t="shared" si="15"/>
        <v>15960</v>
      </c>
      <c r="E28" s="1">
        <f t="shared" si="16"/>
        <v>14820</v>
      </c>
      <c r="F28" s="1">
        <f t="shared" si="19"/>
        <v>6899.9999999999982</v>
      </c>
      <c r="G28" s="1">
        <f t="shared" si="20"/>
        <v>0</v>
      </c>
      <c r="H28" s="1">
        <f t="shared" si="21"/>
        <v>3690</v>
      </c>
      <c r="I28" s="1">
        <f t="shared" si="22"/>
        <v>0</v>
      </c>
      <c r="J28" s="1">
        <f t="shared" si="23"/>
        <v>4379.9999999999982</v>
      </c>
      <c r="K28" s="107">
        <f t="shared" si="24"/>
        <v>88215</v>
      </c>
      <c r="M28" s="1" t="s">
        <v>28</v>
      </c>
      <c r="N28" s="100">
        <f>(C28+F28)-((C28+F28)/12*B15)</f>
        <v>0</v>
      </c>
      <c r="O28" s="102">
        <f t="shared" si="26"/>
        <v>0</v>
      </c>
      <c r="P28" s="104">
        <f t="shared" si="17"/>
        <v>8000</v>
      </c>
      <c r="Q28" s="107">
        <f t="shared" si="27"/>
        <v>8000</v>
      </c>
    </row>
    <row r="29" spans="1:20" ht="12.75" customHeight="1">
      <c r="A29" s="1" t="s">
        <v>30</v>
      </c>
      <c r="B29" s="1">
        <f t="shared" si="18"/>
        <v>0</v>
      </c>
      <c r="C29" s="1">
        <f t="shared" ref="C29:C31" si="28">$B$5*B29</f>
        <v>0</v>
      </c>
      <c r="D29" s="1">
        <f t="shared" si="15"/>
        <v>0</v>
      </c>
      <c r="E29" s="1">
        <f t="shared" si="16"/>
        <v>0</v>
      </c>
      <c r="F29" s="1">
        <f t="shared" si="19"/>
        <v>0</v>
      </c>
      <c r="G29" s="1">
        <f t="shared" si="20"/>
        <v>0</v>
      </c>
      <c r="H29" s="1">
        <f t="shared" si="21"/>
        <v>0</v>
      </c>
      <c r="I29" s="1">
        <f t="shared" si="22"/>
        <v>0</v>
      </c>
      <c r="J29" s="1">
        <f t="shared" si="23"/>
        <v>0</v>
      </c>
      <c r="K29" s="1">
        <f t="shared" si="24"/>
        <v>0</v>
      </c>
      <c r="M29" s="1" t="s">
        <v>30</v>
      </c>
      <c r="N29" s="1">
        <f t="shared" si="25"/>
        <v>0</v>
      </c>
      <c r="O29" s="1">
        <f t="shared" si="26"/>
        <v>0</v>
      </c>
      <c r="P29" s="1">
        <f t="shared" si="17"/>
        <v>0</v>
      </c>
      <c r="Q29" s="1">
        <f t="shared" si="27"/>
        <v>0</v>
      </c>
    </row>
    <row r="30" spans="1:20" ht="12.75" customHeight="1">
      <c r="A30" s="1" t="s">
        <v>31</v>
      </c>
      <c r="B30" s="1">
        <f t="shared" si="18"/>
        <v>0</v>
      </c>
      <c r="C30" s="1">
        <f t="shared" si="28"/>
        <v>0</v>
      </c>
      <c r="D30" s="1">
        <f t="shared" si="15"/>
        <v>0</v>
      </c>
      <c r="E30" s="1">
        <f t="shared" si="16"/>
        <v>0</v>
      </c>
      <c r="F30" s="1">
        <f t="shared" si="19"/>
        <v>0</v>
      </c>
      <c r="G30" s="1">
        <f t="shared" si="20"/>
        <v>0</v>
      </c>
      <c r="H30" s="1">
        <f t="shared" si="21"/>
        <v>0</v>
      </c>
      <c r="I30" s="1">
        <f t="shared" si="22"/>
        <v>0</v>
      </c>
      <c r="J30" s="1">
        <f t="shared" si="23"/>
        <v>0</v>
      </c>
      <c r="K30" s="1">
        <f t="shared" si="24"/>
        <v>0</v>
      </c>
      <c r="M30" s="1" t="s">
        <v>31</v>
      </c>
      <c r="N30" s="1">
        <f t="shared" si="25"/>
        <v>0</v>
      </c>
      <c r="O30" s="1">
        <f t="shared" si="26"/>
        <v>0</v>
      </c>
      <c r="P30" s="1">
        <f t="shared" si="17"/>
        <v>0</v>
      </c>
      <c r="Q30" s="1">
        <f t="shared" si="27"/>
        <v>0</v>
      </c>
    </row>
    <row r="31" spans="1:20" ht="12.75" customHeight="1">
      <c r="A31" s="1" t="s">
        <v>32</v>
      </c>
      <c r="B31" s="1">
        <f t="shared" si="18"/>
        <v>0</v>
      </c>
      <c r="C31" s="1">
        <f t="shared" si="28"/>
        <v>0</v>
      </c>
      <c r="D31" s="1">
        <f t="shared" si="15"/>
        <v>0</v>
      </c>
      <c r="E31" s="1">
        <f t="shared" si="16"/>
        <v>0</v>
      </c>
      <c r="F31" s="1">
        <f t="shared" si="19"/>
        <v>0</v>
      </c>
      <c r="G31" s="1">
        <f t="shared" si="20"/>
        <v>0</v>
      </c>
      <c r="H31" s="1">
        <f t="shared" si="21"/>
        <v>0</v>
      </c>
      <c r="I31" s="1">
        <f t="shared" si="22"/>
        <v>0</v>
      </c>
      <c r="J31" s="1">
        <f t="shared" si="23"/>
        <v>0</v>
      </c>
      <c r="K31" s="1">
        <f t="shared" si="24"/>
        <v>0</v>
      </c>
      <c r="M31" s="1" t="s">
        <v>32</v>
      </c>
      <c r="N31" s="1">
        <f t="shared" si="25"/>
        <v>0</v>
      </c>
      <c r="O31" s="1">
        <f t="shared" si="26"/>
        <v>0</v>
      </c>
      <c r="P31" s="1">
        <f t="shared" si="17"/>
        <v>0</v>
      </c>
      <c r="Q31" s="1">
        <f t="shared" si="27"/>
        <v>0</v>
      </c>
      <c r="S31"/>
    </row>
    <row r="32" spans="1:20" ht="12.75" customHeight="1">
      <c r="A32" s="1" t="s">
        <v>5</v>
      </c>
      <c r="B32" s="1">
        <f t="shared" si="18"/>
        <v>0</v>
      </c>
      <c r="C32" s="1">
        <f>$B$5*B32</f>
        <v>0</v>
      </c>
      <c r="D32" s="1">
        <f t="shared" si="15"/>
        <v>0</v>
      </c>
      <c r="E32" s="1">
        <f t="shared" si="16"/>
        <v>0</v>
      </c>
      <c r="F32" s="1">
        <f t="shared" si="19"/>
        <v>0</v>
      </c>
      <c r="G32" s="1">
        <f t="shared" si="20"/>
        <v>0</v>
      </c>
      <c r="H32" s="1">
        <f t="shared" si="21"/>
        <v>0</v>
      </c>
      <c r="I32" s="1">
        <f t="shared" si="22"/>
        <v>0</v>
      </c>
      <c r="J32" s="1">
        <f t="shared" si="23"/>
        <v>0</v>
      </c>
      <c r="K32" s="1">
        <f t="shared" si="24"/>
        <v>0</v>
      </c>
      <c r="M32" s="1" t="s">
        <v>5</v>
      </c>
      <c r="N32" s="1">
        <f t="shared" si="25"/>
        <v>0</v>
      </c>
      <c r="O32" s="1">
        <f t="shared" si="26"/>
        <v>0</v>
      </c>
      <c r="P32" s="1">
        <f t="shared" si="17"/>
        <v>0</v>
      </c>
      <c r="Q32" s="1">
        <f t="shared" si="27"/>
        <v>0</v>
      </c>
    </row>
    <row r="33" spans="1:17" ht="12.75" customHeight="1">
      <c r="A33" s="1" t="s">
        <v>34</v>
      </c>
      <c r="B33" s="1">
        <f t="shared" si="18"/>
        <v>0</v>
      </c>
      <c r="C33" s="1">
        <f>$B$5*B33</f>
        <v>0</v>
      </c>
      <c r="D33" s="1">
        <f t="shared" si="15"/>
        <v>0</v>
      </c>
      <c r="E33" s="1">
        <f t="shared" si="16"/>
        <v>0</v>
      </c>
      <c r="F33" s="1">
        <f t="shared" si="19"/>
        <v>0</v>
      </c>
      <c r="G33" s="1">
        <f t="shared" si="20"/>
        <v>0</v>
      </c>
      <c r="H33" s="1">
        <f t="shared" si="21"/>
        <v>0</v>
      </c>
      <c r="I33" s="1">
        <f t="shared" si="22"/>
        <v>0</v>
      </c>
      <c r="J33" s="1">
        <f t="shared" si="23"/>
        <v>0</v>
      </c>
      <c r="K33" s="1">
        <f t="shared" si="24"/>
        <v>0</v>
      </c>
      <c r="M33" s="1" t="s">
        <v>44</v>
      </c>
      <c r="N33" s="1">
        <f t="shared" si="25"/>
        <v>0</v>
      </c>
      <c r="O33" s="1">
        <f t="shared" si="26"/>
        <v>0</v>
      </c>
      <c r="P33" s="1">
        <f t="shared" si="17"/>
        <v>0</v>
      </c>
      <c r="Q33" s="1">
        <f t="shared" si="27"/>
        <v>0</v>
      </c>
    </row>
    <row r="34" spans="1:17" ht="12.75" customHeight="1">
      <c r="A34" s="1" t="s">
        <v>56</v>
      </c>
      <c r="C34" s="96">
        <f>SUM(C26:C33)</f>
        <v>93870</v>
      </c>
      <c r="D34" s="96">
        <f t="shared" ref="D34:J34" si="29">SUM(D26:D33)</f>
        <v>35280</v>
      </c>
      <c r="E34" s="96">
        <f t="shared" si="29"/>
        <v>32760</v>
      </c>
      <c r="F34" s="97">
        <f t="shared" si="29"/>
        <v>20699.999999999993</v>
      </c>
      <c r="G34" s="1">
        <f t="shared" si="29"/>
        <v>0</v>
      </c>
      <c r="H34" s="97">
        <f>SUM(H26:H33)</f>
        <v>11070</v>
      </c>
      <c r="I34" s="1">
        <f t="shared" si="29"/>
        <v>0</v>
      </c>
      <c r="J34" s="97">
        <f t="shared" si="29"/>
        <v>13139.999999999995</v>
      </c>
      <c r="K34" s="106">
        <f>C34+D34+E34+F34-G34+H34-I34+J34</f>
        <v>206820</v>
      </c>
      <c r="M34" s="87" t="s">
        <v>108</v>
      </c>
      <c r="N34" s="100">
        <f>SUM(N26:N33)</f>
        <v>0</v>
      </c>
      <c r="O34" s="102">
        <f>SUM(O26:O33)</f>
        <v>0</v>
      </c>
      <c r="P34" s="104">
        <f>SUM(P26:P33)</f>
        <v>19125</v>
      </c>
      <c r="Q34" s="106">
        <f>IF((Q26+Q27+Q28)=(N34+O34+P34),N34+O34+P34,FALSE)</f>
        <v>19125</v>
      </c>
    </row>
    <row r="35" spans="1:17" ht="12.75" customHeight="1">
      <c r="K35" s="1" t="s">
        <v>25</v>
      </c>
      <c r="L35" s="100">
        <f>IF(N34=0,0,((B7-(B7*A24))/12)*(12-B24))</f>
        <v>0</v>
      </c>
      <c r="M35" s="1">
        <f>((C7-(C7*A24))/12)*(12-B24)</f>
        <v>0</v>
      </c>
    </row>
    <row r="36" spans="1:17" ht="12.75" customHeight="1">
      <c r="L36" s="100">
        <f>N34+L35</f>
        <v>0</v>
      </c>
      <c r="M36" s="102">
        <f>O34+M35</f>
        <v>0</v>
      </c>
      <c r="N36" s="104">
        <f>P34+N35</f>
        <v>19125</v>
      </c>
    </row>
    <row r="37" spans="1:17" ht="18.75" customHeight="1" thickBot="1">
      <c r="A37" s="1" t="s">
        <v>84</v>
      </c>
    </row>
    <row r="38" spans="1:17" ht="26.25" customHeight="1">
      <c r="A38" s="7"/>
      <c r="B38" s="35" t="s">
        <v>106</v>
      </c>
      <c r="C38" s="43" t="s">
        <v>3</v>
      </c>
      <c r="D38" s="43" t="s">
        <v>55</v>
      </c>
      <c r="E38" s="43" t="s">
        <v>13</v>
      </c>
      <c r="F38" s="43" t="s">
        <v>15</v>
      </c>
      <c r="G38" s="43" t="s">
        <v>4</v>
      </c>
      <c r="H38" s="43" t="s">
        <v>20</v>
      </c>
      <c r="I38" s="43" t="s">
        <v>19</v>
      </c>
      <c r="J38" s="43" t="s">
        <v>0</v>
      </c>
      <c r="K38" s="43" t="s">
        <v>57</v>
      </c>
      <c r="L38" s="43" t="s">
        <v>60</v>
      </c>
      <c r="M38" s="43" t="s">
        <v>2</v>
      </c>
      <c r="N38" s="76" t="s">
        <v>42</v>
      </c>
    </row>
    <row r="39" spans="1:17">
      <c r="A39" s="8" t="s">
        <v>24</v>
      </c>
      <c r="B39" s="31"/>
      <c r="C39" s="31"/>
      <c r="D39" s="31"/>
      <c r="E39" s="36">
        <f>B39*$B$5</f>
        <v>0</v>
      </c>
      <c r="F39" s="36">
        <f>B39*$C$5</f>
        <v>0</v>
      </c>
      <c r="G39" s="36">
        <f>IF(D39&gt;0,B39*$D$5,0)</f>
        <v>0</v>
      </c>
      <c r="H39" s="36">
        <f>IF(C39&gt;0,$B$6-($B$6*$A$24),0)</f>
        <v>0</v>
      </c>
      <c r="I39" s="36">
        <f>IF(C39&gt;0,$C$6-($C$6*$A$24),0)</f>
        <v>0</v>
      </c>
      <c r="J39" s="36">
        <f>IF(D39&gt;0,$D$6-($D$6*$A$24),0)</f>
        <v>0</v>
      </c>
      <c r="K39" s="36">
        <f>E39+H39-((E39+H39)/12*(12-C39))</f>
        <v>0</v>
      </c>
      <c r="L39" s="36">
        <f>F39+I39-((F39+I39)/12*(12-C39))</f>
        <v>0</v>
      </c>
      <c r="M39" s="36">
        <f>G39+J39-((G39+J39)/12*(12-D39))</f>
        <v>0</v>
      </c>
      <c r="N39" s="68">
        <f>K39+L39+M39</f>
        <v>0</v>
      </c>
    </row>
    <row r="40" spans="1:17" ht="14.25" thickBot="1">
      <c r="A40" s="9" t="s">
        <v>52</v>
      </c>
      <c r="B40" s="32"/>
      <c r="C40" s="32"/>
      <c r="D40" s="32"/>
      <c r="E40" s="54">
        <f>B40*$B$5</f>
        <v>0</v>
      </c>
      <c r="F40" s="54">
        <f>B40*$C$5</f>
        <v>0</v>
      </c>
      <c r="G40" s="54">
        <f>IF(D40&gt;0,B40*$D$5,0)</f>
        <v>0</v>
      </c>
      <c r="H40" s="54">
        <f>IF(C40&gt;0,$B$6-($B$6*$A$24),0)</f>
        <v>0</v>
      </c>
      <c r="I40" s="54">
        <f>IF(C40&gt;0,$C$6-($C$6*$A$24),0)</f>
        <v>0</v>
      </c>
      <c r="J40" s="54">
        <f>IF(D40&gt;0,$D$6-($D$6*$A$24),0)</f>
        <v>0</v>
      </c>
      <c r="K40" s="54">
        <f>E40+H40-((E40+H40)/12*(12-C40))</f>
        <v>0</v>
      </c>
      <c r="L40" s="54">
        <f>F40+I40-((F40+I40)/12*(12-C40))</f>
        <v>0</v>
      </c>
      <c r="M40" s="54">
        <f>G40+J40-((G40+J40)/12*(12-D40))</f>
        <v>0</v>
      </c>
      <c r="N40" s="74">
        <f>K40+L40+M40</f>
        <v>0</v>
      </c>
    </row>
    <row r="41" spans="1:17">
      <c r="A41" s="1" t="s">
        <v>56</v>
      </c>
      <c r="K41" s="1">
        <f>SUM(K39:K40)</f>
        <v>0</v>
      </c>
      <c r="L41" s="1">
        <f>SUM(L39:L40)</f>
        <v>0</v>
      </c>
      <c r="M41" s="1">
        <f>SUM(M39:M40)</f>
        <v>0</v>
      </c>
    </row>
    <row r="43" spans="1:17" s="3" customFormat="1">
      <c r="A43" s="18"/>
      <c r="B43" s="24" t="s">
        <v>29</v>
      </c>
      <c r="C43" s="24" t="s">
        <v>18</v>
      </c>
      <c r="D43" s="24" t="s">
        <v>51</v>
      </c>
      <c r="E43" s="24" t="s">
        <v>23</v>
      </c>
      <c r="F43" s="24" t="s">
        <v>61</v>
      </c>
      <c r="G43" s="24" t="s">
        <v>63</v>
      </c>
      <c r="H43" s="24" t="s">
        <v>67</v>
      </c>
      <c r="I43" s="45" t="s">
        <v>68</v>
      </c>
      <c r="J43" s="71" t="s">
        <v>1</v>
      </c>
    </row>
    <row r="44" spans="1:17">
      <c r="A44" s="8" t="s">
        <v>12</v>
      </c>
      <c r="B44" s="95">
        <f>C34</f>
        <v>93870</v>
      </c>
      <c r="C44" s="98">
        <f>F34-G34</f>
        <v>20699.999999999993</v>
      </c>
      <c r="D44" s="36">
        <f>IF(C44=0,0,B7-(B7*A24))</f>
        <v>4919.9999999999982</v>
      </c>
      <c r="E44" s="99">
        <f>L36</f>
        <v>0</v>
      </c>
      <c r="F44" s="36">
        <f>K41</f>
        <v>0</v>
      </c>
      <c r="G44" s="36">
        <f>ROUNDDOWN(B44+C44+D44-E44+F44,-2)</f>
        <v>119400</v>
      </c>
      <c r="H44" s="36">
        <f>IF(G44&gt;B8,G44-B8,0)</f>
        <v>0</v>
      </c>
      <c r="I44" s="68">
        <f>G44-H44</f>
        <v>119400</v>
      </c>
      <c r="J44" s="72" t="s">
        <v>82</v>
      </c>
    </row>
    <row r="45" spans="1:17">
      <c r="A45" s="8" t="s">
        <v>49</v>
      </c>
      <c r="B45" s="95">
        <f>D34</f>
        <v>35280</v>
      </c>
      <c r="C45" s="98">
        <f>H34-I34</f>
        <v>11070</v>
      </c>
      <c r="D45" s="36">
        <f>C7-(C7*A24)</f>
        <v>0</v>
      </c>
      <c r="E45" s="101">
        <f>M36</f>
        <v>0</v>
      </c>
      <c r="F45" s="36">
        <f>L41</f>
        <v>0</v>
      </c>
      <c r="G45" s="36">
        <f>ROUNDDOWN(B45+C45+D45-E45+F45,-2)</f>
        <v>46300</v>
      </c>
      <c r="H45" s="36">
        <f>IF(G45&gt;C8,G45-C8,0)</f>
        <v>0</v>
      </c>
      <c r="I45" s="68">
        <f>G45-H45</f>
        <v>46300</v>
      </c>
    </row>
    <row r="46" spans="1:17" ht="14.25" thickBot="1">
      <c r="A46" s="8" t="s">
        <v>9</v>
      </c>
      <c r="B46" s="95">
        <f>E34</f>
        <v>32760</v>
      </c>
      <c r="C46" s="98">
        <f>J34</f>
        <v>13139.999999999995</v>
      </c>
      <c r="D46" s="36"/>
      <c r="E46" s="103">
        <f>N36</f>
        <v>19125</v>
      </c>
      <c r="F46" s="58">
        <f>M41</f>
        <v>0</v>
      </c>
      <c r="G46" s="58">
        <f>ROUNDDOWN(B46+C46+D46-E46+F46,-2)</f>
        <v>26700</v>
      </c>
      <c r="H46" s="36">
        <f>IF(G46&gt;D8,G46-D8,0)</f>
        <v>0</v>
      </c>
      <c r="I46" s="68">
        <f>G46-H46</f>
        <v>26700</v>
      </c>
    </row>
    <row r="47" spans="1:17" ht="27" customHeight="1" thickBot="1">
      <c r="A47" s="19"/>
      <c r="B47" s="10"/>
      <c r="C47" s="10"/>
      <c r="D47" s="10"/>
      <c r="E47" s="10"/>
      <c r="F47" s="59" t="s">
        <v>62</v>
      </c>
      <c r="G47" s="85">
        <f>I44+I45+I46</f>
        <v>192400</v>
      </c>
      <c r="H47" s="65" t="s">
        <v>81</v>
      </c>
      <c r="I47" s="69"/>
      <c r="M47" s="92"/>
      <c r="N47" s="93"/>
      <c r="O47" s="93"/>
      <c r="P47" s="93"/>
      <c r="Q47" s="94"/>
    </row>
    <row r="48" spans="1:17" ht="14.25" thickBot="1">
      <c r="A48" s="20"/>
      <c r="B48" s="11"/>
      <c r="C48" s="11"/>
      <c r="D48" s="11"/>
      <c r="E48" s="11"/>
      <c r="F48" s="11"/>
      <c r="G48" s="11"/>
      <c r="H48" s="11"/>
      <c r="I48" s="70"/>
      <c r="M48" s="94"/>
      <c r="N48" s="92"/>
      <c r="O48" s="92"/>
      <c r="P48" s="92"/>
      <c r="Q48" s="92"/>
    </row>
    <row r="49" spans="6:17" ht="20.25" customHeight="1">
      <c r="F49" s="60" t="s">
        <v>45</v>
      </c>
      <c r="M49" s="94"/>
      <c r="N49" s="92"/>
      <c r="O49" s="92"/>
      <c r="P49" s="92"/>
      <c r="Q49" s="92"/>
    </row>
  </sheetData>
  <mergeCells count="1">
    <mergeCell ref="C21:D21"/>
  </mergeCells>
  <phoneticPr fontId="1"/>
  <pageMargins left="0.47244094488188981" right="0.39370078740157483" top="0.51181102362204722" bottom="0.27559055118110237" header="0.31496062992125984" footer="0.19685039370078741"/>
  <pageSetup paperSize="9" scale="73" orientation="landscape" r:id="rId1"/>
  <headerFooter alignWithMargins="0">
    <oddHeader>&amp;L&amp;A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EB08CEC-8843-4700-9635-72294FB63AF8}">
          <x14:formula1>
            <xm:f>軽減判定計算シート!$A$10:$A$11</xm:f>
          </x14:formula1>
          <xm:sqref>D13:D20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1"/>
  <sheetViews>
    <sheetView workbookViewId="0">
      <selection activeCell="D6" sqref="D6"/>
    </sheetView>
  </sheetViews>
  <sheetFormatPr defaultRowHeight="13.5"/>
  <cols>
    <col min="1" max="1" width="9" style="1" customWidth="1"/>
    <col min="2" max="2" width="9.25" style="1" bestFit="1" customWidth="1"/>
    <col min="3" max="4" width="9.125" style="1" bestFit="1" customWidth="1"/>
    <col min="5" max="5" width="9.25" style="1" bestFit="1" customWidth="1"/>
    <col min="6" max="6" width="9.25" bestFit="1" customWidth="1"/>
  </cols>
  <sheetData>
    <row r="2" spans="1:7">
      <c r="A2" s="77" t="s">
        <v>38</v>
      </c>
      <c r="B2" s="77"/>
      <c r="C2" s="77"/>
      <c r="D2" s="77"/>
      <c r="E2" s="77" t="s">
        <v>16</v>
      </c>
      <c r="F2" s="77">
        <f>'国民健康保険試算表 2'!I21</f>
        <v>0</v>
      </c>
      <c r="G2" s="79"/>
    </row>
    <row r="3" spans="1:7">
      <c r="A3" s="77" t="s">
        <v>39</v>
      </c>
      <c r="B3" s="77"/>
      <c r="C3" s="77"/>
      <c r="D3" s="77" t="s">
        <v>17</v>
      </c>
      <c r="E3" s="77" t="s">
        <v>37</v>
      </c>
      <c r="F3" s="79"/>
      <c r="G3" s="79"/>
    </row>
    <row r="4" spans="1:7">
      <c r="A4" s="77" t="s">
        <v>40</v>
      </c>
      <c r="B4" s="78">
        <v>430000</v>
      </c>
      <c r="C4" s="77"/>
      <c r="D4" s="77"/>
      <c r="E4" s="77">
        <f>B4+('国民健康保険試算表 2'!E21-1)*100000</f>
        <v>330000</v>
      </c>
      <c r="F4" s="79">
        <f>IF($F$2&lt;=E4,7,0)</f>
        <v>7</v>
      </c>
      <c r="G4" s="79"/>
    </row>
    <row r="5" spans="1:7">
      <c r="A5" s="77" t="s">
        <v>41</v>
      </c>
      <c r="B5" s="78">
        <v>430000</v>
      </c>
      <c r="C5" s="78">
        <v>305000</v>
      </c>
      <c r="D5" s="77">
        <f>'国民健康保険試算表 2'!B22</f>
        <v>0</v>
      </c>
      <c r="E5" s="77">
        <f>B5+(C5*D5+('国民健康保険試算表 2'!E21-1)*100000)</f>
        <v>330000</v>
      </c>
      <c r="F5" s="79">
        <f>IF(F2&lt;=E5,5,0)</f>
        <v>5</v>
      </c>
      <c r="G5" s="79"/>
    </row>
    <row r="6" spans="1:7">
      <c r="A6" s="77" t="s">
        <v>27</v>
      </c>
      <c r="B6" s="78">
        <v>430000</v>
      </c>
      <c r="C6" s="78">
        <v>560000</v>
      </c>
      <c r="D6" s="77">
        <f>'国民健康保険試算表 2'!B23</f>
        <v>0</v>
      </c>
      <c r="E6" s="77">
        <f>B6+(C6*D6+('国民健康保険試算表 2'!E21-1)*100000)</f>
        <v>330000</v>
      </c>
      <c r="F6" s="79">
        <f>IF(F2&lt;=E6,2,0)</f>
        <v>2</v>
      </c>
      <c r="G6" s="79"/>
    </row>
    <row r="7" spans="1:7">
      <c r="A7" s="77"/>
      <c r="B7" s="77"/>
      <c r="C7" s="77"/>
      <c r="D7" s="77"/>
      <c r="E7" s="77"/>
      <c r="F7" s="79">
        <f>MAX(F4:F6)</f>
        <v>7</v>
      </c>
      <c r="G7" s="79">
        <f>F7*0.1</f>
        <v>0.70000000000000007</v>
      </c>
    </row>
    <row r="9" spans="1:7">
      <c r="A9" s="87" t="s">
        <v>102</v>
      </c>
    </row>
    <row r="10" spans="1:7">
      <c r="A10" s="87">
        <v>0</v>
      </c>
    </row>
    <row r="11" spans="1:7">
      <c r="A11" s="87">
        <v>1</v>
      </c>
    </row>
  </sheetData>
  <sheetProtection selectLockedCells="1"/>
  <phoneticPr fontId="1"/>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sheetPr>
  <dimension ref="A1:F19"/>
  <sheetViews>
    <sheetView workbookViewId="0">
      <selection activeCell="A25" sqref="A25"/>
    </sheetView>
  </sheetViews>
  <sheetFormatPr defaultRowHeight="13.5"/>
  <cols>
    <col min="1" max="1" width="16.375" customWidth="1"/>
    <col min="2" max="4" width="14.125" customWidth="1"/>
    <col min="5" max="6" width="13" customWidth="1"/>
  </cols>
  <sheetData>
    <row r="1" spans="1:6" ht="28.5" customHeight="1">
      <c r="A1" s="80" t="s">
        <v>91</v>
      </c>
    </row>
    <row r="2" spans="1:6">
      <c r="E2" s="82" t="s">
        <v>43</v>
      </c>
      <c r="F2" s="84" t="s">
        <v>89</v>
      </c>
    </row>
    <row r="3" spans="1:6">
      <c r="A3" s="7" t="s">
        <v>76</v>
      </c>
      <c r="B3" s="24" t="s">
        <v>59</v>
      </c>
      <c r="C3" s="24" t="s">
        <v>64</v>
      </c>
      <c r="D3" s="45" t="s">
        <v>46</v>
      </c>
      <c r="E3" s="83" t="s">
        <v>94</v>
      </c>
      <c r="F3" s="83" t="s">
        <v>95</v>
      </c>
    </row>
    <row r="4" spans="1:6">
      <c r="A4" s="8" t="s">
        <v>8</v>
      </c>
      <c r="B4" s="25">
        <f>国民健康保険試算表!B5</f>
        <v>7.4499999999999997E-2</v>
      </c>
      <c r="C4" s="25">
        <f>国民健康保険試算表!C5</f>
        <v>2.8000000000000001E-2</v>
      </c>
      <c r="D4" s="46">
        <f>国民健康保険試算表!D5</f>
        <v>2.5999999999999999E-2</v>
      </c>
      <c r="E4" s="51">
        <f>SUM(B4:D4)</f>
        <v>0.1285</v>
      </c>
      <c r="F4" s="51">
        <f>B4+C4</f>
        <v>0.10249999999999999</v>
      </c>
    </row>
    <row r="5" spans="1:6">
      <c r="A5" s="8" t="s">
        <v>10</v>
      </c>
      <c r="B5" s="26">
        <f>国民健康保険試算表!B6</f>
        <v>23000</v>
      </c>
      <c r="C5" s="26">
        <f>国民健康保険試算表!C6</f>
        <v>12300</v>
      </c>
      <c r="D5" s="47">
        <f>国民健康保険試算表!D6</f>
        <v>14600</v>
      </c>
      <c r="E5" s="1">
        <f>SUM(B5:D5)</f>
        <v>49900</v>
      </c>
      <c r="F5" s="1">
        <f>B5+C5</f>
        <v>35300</v>
      </c>
    </row>
    <row r="6" spans="1:6">
      <c r="A6" s="8" t="s">
        <v>6</v>
      </c>
      <c r="B6" s="26">
        <f>国民健康保険試算表!B7</f>
        <v>16400</v>
      </c>
      <c r="C6" s="26">
        <f>国民健康保険試算表!C7</f>
        <v>0</v>
      </c>
      <c r="D6" s="26">
        <f>国民健康保険試算表!D7</f>
        <v>0</v>
      </c>
      <c r="E6" s="1">
        <f>SUM(B6:D6)</f>
        <v>16400</v>
      </c>
      <c r="F6" s="1"/>
    </row>
    <row r="7" spans="1:6">
      <c r="A7" s="36" t="s">
        <v>85</v>
      </c>
      <c r="B7" s="26">
        <f>B6*0.5</f>
        <v>8200</v>
      </c>
      <c r="C7" s="26">
        <f>C6*0.5</f>
        <v>0</v>
      </c>
      <c r="D7" s="26">
        <f>D6*0.5</f>
        <v>0</v>
      </c>
      <c r="E7" s="1">
        <f>SUM(B7:D7)</f>
        <v>8200</v>
      </c>
      <c r="F7" s="1"/>
    </row>
    <row r="8" spans="1:6" ht="23.25" customHeight="1">
      <c r="A8" s="81" t="s">
        <v>86</v>
      </c>
      <c r="E8" t="s">
        <v>90</v>
      </c>
    </row>
    <row r="9" spans="1:6">
      <c r="A9" s="8" t="s">
        <v>10</v>
      </c>
      <c r="B9" s="26">
        <f t="shared" ref="B9:D10" si="0">B5-(B5*0.2)</f>
        <v>18400</v>
      </c>
      <c r="C9" s="26">
        <f t="shared" si="0"/>
        <v>9840</v>
      </c>
      <c r="D9" s="26">
        <f t="shared" si="0"/>
        <v>11680</v>
      </c>
      <c r="E9" s="1">
        <f>SUM(B9:D9)</f>
        <v>39920</v>
      </c>
      <c r="F9" s="1">
        <f>B9+C9</f>
        <v>28240</v>
      </c>
    </row>
    <row r="10" spans="1:6">
      <c r="A10" s="8" t="s">
        <v>6</v>
      </c>
      <c r="B10" s="26">
        <f t="shared" si="0"/>
        <v>13120</v>
      </c>
      <c r="C10" s="26">
        <f t="shared" si="0"/>
        <v>0</v>
      </c>
      <c r="D10" s="26">
        <f t="shared" si="0"/>
        <v>0</v>
      </c>
      <c r="E10" s="1">
        <f>SUM(B10:D10)</f>
        <v>13120</v>
      </c>
      <c r="F10" s="1"/>
    </row>
    <row r="11" spans="1:6">
      <c r="A11" s="36" t="s">
        <v>85</v>
      </c>
      <c r="B11" s="26">
        <f>B10*0.5</f>
        <v>6560</v>
      </c>
      <c r="C11" s="26"/>
      <c r="D11" s="26"/>
      <c r="E11" s="1">
        <f>SUM(B11:D11)</f>
        <v>6560</v>
      </c>
      <c r="F11" s="1"/>
    </row>
    <row r="12" spans="1:6" ht="20.25" customHeight="1">
      <c r="A12" s="36" t="s">
        <v>87</v>
      </c>
    </row>
    <row r="13" spans="1:6">
      <c r="A13" s="8" t="s">
        <v>10</v>
      </c>
      <c r="B13" s="26">
        <f t="shared" ref="B13:D14" si="1">B5-(B5*0.5)</f>
        <v>11500</v>
      </c>
      <c r="C13" s="26">
        <f t="shared" si="1"/>
        <v>6150</v>
      </c>
      <c r="D13" s="26">
        <f t="shared" si="1"/>
        <v>7300</v>
      </c>
      <c r="E13" s="1">
        <f>SUM(B13:D13)</f>
        <v>24950</v>
      </c>
      <c r="F13" s="1">
        <f>B13+C13</f>
        <v>17650</v>
      </c>
    </row>
    <row r="14" spans="1:6">
      <c r="A14" s="8" t="s">
        <v>6</v>
      </c>
      <c r="B14" s="26">
        <f t="shared" si="1"/>
        <v>8200</v>
      </c>
      <c r="C14" s="26">
        <f t="shared" si="1"/>
        <v>0</v>
      </c>
      <c r="D14" s="26">
        <f t="shared" si="1"/>
        <v>0</v>
      </c>
      <c r="E14" s="1">
        <f>SUM(B14:D14)</f>
        <v>8200</v>
      </c>
      <c r="F14" s="1"/>
    </row>
    <row r="15" spans="1:6">
      <c r="A15" s="36" t="s">
        <v>85</v>
      </c>
      <c r="B15" s="26">
        <f>B14*0.5</f>
        <v>4100</v>
      </c>
      <c r="C15" s="26"/>
      <c r="D15" s="26"/>
      <c r="E15" s="1">
        <f>SUM(B15:D15)</f>
        <v>4100</v>
      </c>
      <c r="F15" s="1"/>
    </row>
    <row r="16" spans="1:6" ht="21.75" customHeight="1">
      <c r="A16" s="81" t="s">
        <v>88</v>
      </c>
    </row>
    <row r="17" spans="1:6">
      <c r="A17" s="8" t="s">
        <v>10</v>
      </c>
      <c r="B17" s="26">
        <f t="shared" ref="B17:D18" si="2">B5-(B5*0.7)</f>
        <v>6900.0000000000018</v>
      </c>
      <c r="C17" s="26">
        <f t="shared" si="2"/>
        <v>3690</v>
      </c>
      <c r="D17" s="26">
        <f t="shared" si="2"/>
        <v>4380</v>
      </c>
      <c r="E17" s="1">
        <f>SUM(B17:D17)</f>
        <v>14970.000000000002</v>
      </c>
      <c r="F17" s="1">
        <f>B17+C17</f>
        <v>10590.000000000002</v>
      </c>
    </row>
    <row r="18" spans="1:6">
      <c r="A18" s="8" t="s">
        <v>6</v>
      </c>
      <c r="B18" s="26">
        <f t="shared" si="2"/>
        <v>4920</v>
      </c>
      <c r="C18" s="26">
        <f t="shared" si="2"/>
        <v>0</v>
      </c>
      <c r="D18" s="26">
        <f t="shared" si="2"/>
        <v>0</v>
      </c>
      <c r="E18" s="1">
        <f>SUM(B18:D18)</f>
        <v>4920</v>
      </c>
      <c r="F18" s="1"/>
    </row>
    <row r="19" spans="1:6">
      <c r="A19" s="36" t="s">
        <v>85</v>
      </c>
      <c r="B19" s="26">
        <f>B18*0.5</f>
        <v>2460</v>
      </c>
      <c r="C19" s="26"/>
      <c r="D19" s="26"/>
      <c r="E19" s="1">
        <f>SUM(B19:D19)</f>
        <v>2460</v>
      </c>
      <c r="F19" s="1"/>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国保試算用入力シート</vt:lpstr>
      <vt:lpstr>国民健康保険試算表 2</vt:lpstr>
      <vt:lpstr>国民健康保険試算表</vt:lpstr>
      <vt:lpstr>軽減判定計算シート</vt:lpstr>
      <vt:lpstr>保険料額（軽減）一覧</vt:lpstr>
      <vt:lpstr>国民健康保険試算表!Print_Area</vt:lpstr>
      <vt:lpstr>'国民健康保険試算表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cksuser016</dc:creator>
  <cp:lastModifiedBy>税務課 保険税係</cp:lastModifiedBy>
  <cp:lastPrinted>2025-08-20T06:15:49Z</cp:lastPrinted>
  <dcterms:created xsi:type="dcterms:W3CDTF">2010-01-28T01:20:25Z</dcterms:created>
  <dcterms:modified xsi:type="dcterms:W3CDTF">2025-08-20T06:21:59Z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2.1.6.0</vt:lpwstr>
    </vt:vector>
  </property>
  <property fmtid="{DCFEDD21-7773-49B2-8022-6FC58DB5260B}" pid="3" name="LastSavedVersion">
    <vt:lpwstr>2.1.6.0</vt:lpwstr>
  </property>
  <property fmtid="{DCFEDD21-7773-49B2-8022-6FC58DB5260B}" pid="4" name="LastSavedDate">
    <vt:filetime>2021-04-09T08:15:15Z</vt:filetime>
  </property>
</Properties>
</file>